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sephine M Tioseco\Desktop\EE Buildings - User Manual\"/>
    </mc:Choice>
  </mc:AlternateContent>
  <bookViews>
    <workbookView xWindow="0" yWindow="0" windowWidth="19368" windowHeight="8796" tabRatio="777"/>
  </bookViews>
  <sheets>
    <sheet name="Architectural" sheetId="1" r:id="rId1"/>
    <sheet name="SHGC Calculator" sheetId="3" state="hidden" r:id="rId2"/>
    <sheet name="Thermal Resistance Calculator" sheetId="5" state="hidden" r:id="rId3"/>
    <sheet name="MRF Floor Area Calculator" sheetId="6" state="hidden" r:id="rId4"/>
    <sheet name="OTTV Method" sheetId="7" r:id="rId5"/>
    <sheet name="Prescriptive Method" sheetId="8" r:id="rId6"/>
    <sheet name="Walls" sheetId="9" r:id="rId7"/>
    <sheet name="Roof" sheetId="10" r:id="rId8"/>
    <sheet name="Windows &amp; Shading" sheetId="11" r:id="rId9"/>
    <sheet name="Lists" sheetId="12" r:id="rId10"/>
    <sheet name="Appendix" sheetId="13" r:id="rId11"/>
    <sheet name="Sheet1" sheetId="2" r:id="rId12"/>
  </sheets>
  <externalReferences>
    <externalReference r:id="rId13"/>
  </externalReferences>
  <definedNames>
    <definedName name="Building_Elevations">'SHGC Calculator'!$A$3</definedName>
    <definedName name="Complied">Sheet1!$B$2:$B$4</definedName>
    <definedName name="Elevation">Sheet1!$E$2:$E$9</definedName>
    <definedName name="Elevations">[1]Sheet2!$B$2:$B$9</definedName>
    <definedName name="Insulation">Sheet1!$F$2:$F$24</definedName>
    <definedName name="_xlnm.Print_Area" localSheetId="5">'Prescriptive Method'!$L$9:$M$18</definedName>
    <definedName name="Provided">Sheet1!$D$2:$D$3</definedName>
    <definedName name="Required">Sheet1!$A$2:$A$4</definedName>
    <definedName name="Use_Occupancy">Sheet1!$H$2:$H$7</definedName>
    <definedName name="YesNo">Sheet1!$C$2:$C$3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3" l="1"/>
  <c r="I76" i="10"/>
  <c r="I77" i="10"/>
  <c r="I78" i="10"/>
  <c r="I79" i="10"/>
  <c r="I80" i="10"/>
  <c r="E83" i="10"/>
  <c r="D32" i="12"/>
  <c r="E32" i="12"/>
  <c r="H76" i="10"/>
  <c r="H77" i="10"/>
  <c r="H78" i="10"/>
  <c r="H79" i="10"/>
  <c r="H80" i="10"/>
  <c r="D83" i="10"/>
  <c r="C32" i="12"/>
  <c r="B32" i="12"/>
  <c r="I60" i="10"/>
  <c r="I61" i="10"/>
  <c r="I62" i="10"/>
  <c r="I63" i="10"/>
  <c r="I64" i="10"/>
  <c r="E67" i="10"/>
  <c r="D31" i="12"/>
  <c r="E31" i="12"/>
  <c r="H60" i="10"/>
  <c r="H61" i="10"/>
  <c r="H62" i="10"/>
  <c r="H63" i="10"/>
  <c r="H64" i="10"/>
  <c r="D67" i="10"/>
  <c r="C31" i="12"/>
  <c r="B31" i="12"/>
  <c r="I44" i="10"/>
  <c r="I45" i="10"/>
  <c r="I46" i="10"/>
  <c r="I47" i="10"/>
  <c r="I48" i="10"/>
  <c r="E51" i="10"/>
  <c r="D30" i="12"/>
  <c r="E30" i="12"/>
  <c r="H44" i="10"/>
  <c r="H45" i="10"/>
  <c r="H46" i="10"/>
  <c r="H47" i="10"/>
  <c r="H48" i="10"/>
  <c r="D51" i="10"/>
  <c r="C30" i="12"/>
  <c r="B30" i="12"/>
  <c r="I28" i="10"/>
  <c r="I29" i="10"/>
  <c r="I30" i="10"/>
  <c r="I31" i="10"/>
  <c r="I32" i="10"/>
  <c r="E35" i="10"/>
  <c r="D29" i="12"/>
  <c r="E29" i="12"/>
  <c r="H28" i="10"/>
  <c r="H29" i="10"/>
  <c r="H30" i="10"/>
  <c r="H31" i="10"/>
  <c r="H32" i="10"/>
  <c r="D35" i="10"/>
  <c r="C29" i="12"/>
  <c r="B29" i="12"/>
  <c r="I12" i="10"/>
  <c r="I13" i="10"/>
  <c r="I14" i="10"/>
  <c r="I15" i="10"/>
  <c r="I16" i="10"/>
  <c r="E19" i="10"/>
  <c r="D28" i="12"/>
  <c r="E28" i="12"/>
  <c r="H12" i="10"/>
  <c r="H13" i="10"/>
  <c r="H14" i="10"/>
  <c r="H15" i="10"/>
  <c r="H16" i="10"/>
  <c r="D19" i="10"/>
  <c r="C28" i="12"/>
  <c r="B28" i="12"/>
  <c r="I76" i="9"/>
  <c r="I77" i="9"/>
  <c r="I78" i="9"/>
  <c r="I79" i="9"/>
  <c r="I80" i="9"/>
  <c r="E83" i="9"/>
  <c r="D8" i="12"/>
  <c r="E8" i="12"/>
  <c r="H76" i="9"/>
  <c r="H77" i="9"/>
  <c r="H78" i="9"/>
  <c r="H79" i="9"/>
  <c r="H80" i="9"/>
  <c r="D83" i="9"/>
  <c r="C8" i="12"/>
  <c r="B8" i="12"/>
  <c r="I60" i="9"/>
  <c r="I61" i="9"/>
  <c r="I62" i="9"/>
  <c r="I63" i="9"/>
  <c r="I64" i="9"/>
  <c r="E67" i="9"/>
  <c r="D7" i="12"/>
  <c r="E7" i="12"/>
  <c r="H60" i="9"/>
  <c r="H61" i="9"/>
  <c r="H62" i="9"/>
  <c r="H63" i="9"/>
  <c r="H64" i="9"/>
  <c r="D67" i="9"/>
  <c r="C7" i="12"/>
  <c r="B7" i="12"/>
  <c r="I44" i="9"/>
  <c r="I45" i="9"/>
  <c r="I46" i="9"/>
  <c r="I47" i="9"/>
  <c r="I48" i="9"/>
  <c r="E51" i="9"/>
  <c r="D6" i="12"/>
  <c r="E6" i="12"/>
  <c r="H44" i="9"/>
  <c r="H45" i="9"/>
  <c r="H46" i="9"/>
  <c r="H47" i="9"/>
  <c r="H48" i="9"/>
  <c r="D51" i="9"/>
  <c r="C6" i="12"/>
  <c r="B6" i="12"/>
  <c r="I28" i="9"/>
  <c r="I29" i="9"/>
  <c r="I30" i="9"/>
  <c r="I31" i="9"/>
  <c r="I32" i="9"/>
  <c r="E35" i="9"/>
  <c r="D5" i="12"/>
  <c r="E5" i="12"/>
  <c r="H28" i="9"/>
  <c r="H29" i="9"/>
  <c r="H30" i="9"/>
  <c r="H31" i="9"/>
  <c r="H32" i="9"/>
  <c r="D35" i="9"/>
  <c r="C5" i="12"/>
  <c r="B5" i="12"/>
  <c r="I12" i="9"/>
  <c r="I13" i="9"/>
  <c r="I14" i="9"/>
  <c r="I15" i="9"/>
  <c r="I16" i="9"/>
  <c r="E19" i="9"/>
  <c r="D4" i="12"/>
  <c r="E4" i="12"/>
  <c r="H12" i="9"/>
  <c r="H13" i="9"/>
  <c r="H14" i="9"/>
  <c r="H15" i="9"/>
  <c r="H16" i="9"/>
  <c r="D19" i="9"/>
  <c r="C4" i="12"/>
  <c r="B4" i="12"/>
  <c r="F24" i="11"/>
  <c r="G24" i="11"/>
  <c r="F23" i="11"/>
  <c r="G23" i="11"/>
  <c r="F22" i="11"/>
  <c r="G22" i="11"/>
  <c r="F21" i="11"/>
  <c r="G21" i="11"/>
  <c r="F20" i="11"/>
  <c r="G20" i="11"/>
  <c r="G9" i="8"/>
  <c r="H9" i="8"/>
  <c r="G10" i="8"/>
  <c r="H10" i="8"/>
  <c r="H13" i="8"/>
  <c r="C13" i="8"/>
  <c r="J13" i="8"/>
  <c r="H15" i="8"/>
  <c r="G12" i="8"/>
  <c r="G11" i="8"/>
  <c r="G31" i="7"/>
  <c r="H31" i="7"/>
  <c r="G32" i="7"/>
  <c r="I31" i="7"/>
  <c r="M31" i="7"/>
  <c r="N31" i="7"/>
  <c r="G34" i="7"/>
  <c r="H34" i="7"/>
  <c r="G35" i="7"/>
  <c r="I34" i="7"/>
  <c r="M34" i="7"/>
  <c r="N34" i="7"/>
  <c r="G37" i="7"/>
  <c r="H37" i="7"/>
  <c r="G38" i="7"/>
  <c r="I37" i="7"/>
  <c r="M37" i="7"/>
  <c r="N37" i="7"/>
  <c r="G40" i="7"/>
  <c r="H40" i="7"/>
  <c r="G41" i="7"/>
  <c r="I40" i="7"/>
  <c r="M40" i="7"/>
  <c r="N40" i="7"/>
  <c r="N43" i="7"/>
  <c r="K43" i="7"/>
  <c r="F40" i="7"/>
  <c r="F37" i="7"/>
  <c r="F34" i="7"/>
  <c r="F31" i="7"/>
  <c r="E12" i="7"/>
  <c r="E11" i="7"/>
  <c r="G11" i="7"/>
  <c r="H11" i="7"/>
  <c r="G12" i="7"/>
  <c r="I11" i="7"/>
  <c r="J12" i="7"/>
  <c r="M11" i="7"/>
  <c r="N11" i="7"/>
  <c r="E15" i="7"/>
  <c r="E14" i="7"/>
  <c r="G14" i="7"/>
  <c r="H14" i="7"/>
  <c r="G15" i="7"/>
  <c r="I14" i="7"/>
  <c r="J15" i="7"/>
  <c r="M14" i="7"/>
  <c r="N14" i="7"/>
  <c r="N23" i="7"/>
  <c r="K23" i="7"/>
  <c r="J21" i="7"/>
  <c r="G21" i="7"/>
  <c r="N20" i="7"/>
  <c r="M20" i="7"/>
  <c r="I20" i="7"/>
  <c r="H20" i="7"/>
  <c r="G20" i="7"/>
  <c r="F20" i="7"/>
  <c r="J18" i="7"/>
  <c r="G18" i="7"/>
  <c r="N17" i="7"/>
  <c r="M17" i="7"/>
  <c r="I17" i="7"/>
  <c r="H17" i="7"/>
  <c r="G17" i="7"/>
  <c r="F17" i="7"/>
  <c r="F14" i="7"/>
  <c r="F11" i="7"/>
  <c r="I2" i="2"/>
  <c r="C3" i="6"/>
  <c r="D4" i="6"/>
  <c r="I7" i="2"/>
  <c r="I6" i="2"/>
  <c r="I5" i="2"/>
  <c r="I4" i="2"/>
  <c r="I3" i="2"/>
  <c r="C4" i="5"/>
  <c r="D4" i="5"/>
  <c r="C5" i="5"/>
  <c r="D5" i="5"/>
  <c r="C6" i="5"/>
  <c r="D6" i="5"/>
  <c r="C7" i="5"/>
  <c r="D7" i="5"/>
  <c r="C8" i="5"/>
  <c r="D8" i="5"/>
  <c r="D10" i="5"/>
  <c r="C11" i="3"/>
  <c r="B11" i="3"/>
  <c r="F3" i="3"/>
  <c r="M3" i="3"/>
  <c r="N3" i="3"/>
  <c r="I3" i="3"/>
  <c r="J3" i="3"/>
  <c r="E3" i="3"/>
  <c r="O3" i="3"/>
</calcChain>
</file>

<file path=xl/comments1.xml><?xml version="1.0" encoding="utf-8"?>
<comments xmlns="http://schemas.openxmlformats.org/spreadsheetml/2006/main">
  <authors>
    <author>Rober Himmler</author>
  </authors>
  <commentList>
    <comment ref="D8" authorId="0" shapeId="0">
      <text>
        <r>
          <rPr>
            <b/>
            <sz val="9"/>
            <color rgb="FF000000"/>
            <rFont val="Tahoma"/>
            <family val="2"/>
          </rPr>
          <t>Inside Wall: 0.13 m2K/W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24" authorId="0" shapeId="0">
      <text>
        <r>
          <rPr>
            <b/>
            <sz val="9"/>
            <color rgb="FF000000"/>
            <rFont val="Tahoma"/>
            <family val="2"/>
          </rPr>
          <t>Inside Wall: 0.13 m2K/W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Inside Wall: 0.13 m2K/W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Inside Wall: 0.13 m2K/W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Inside Wall: 0.13 m2K/W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</commentList>
</comments>
</file>

<file path=xl/comments2.xml><?xml version="1.0" encoding="utf-8"?>
<comments xmlns="http://schemas.openxmlformats.org/spreadsheetml/2006/main">
  <authors>
    <author>Rober Himmler</author>
  </authors>
  <commentList>
    <comment ref="D8" authorId="0" shapeId="0">
      <text>
        <r>
          <rPr>
            <b/>
            <sz val="9"/>
            <color rgb="FF000000"/>
            <rFont val="Tahoma"/>
            <family val="2"/>
          </rPr>
          <t>Inside Wall: 0.13 m2K/W</t>
        </r>
      </text>
    </comment>
    <comment ref="D9" authorId="0" shapeId="0">
      <text>
        <r>
          <rPr>
            <b/>
            <sz val="9"/>
            <color rgb="FF000000"/>
            <rFont val="Tahoma"/>
            <family val="2"/>
          </rPr>
          <t>Outside Wall: 0.04 m2K/W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Inside Wall: 0.13 m2K/W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40" authorId="0" shapeId="0">
      <text>
        <r>
          <rPr>
            <b/>
            <sz val="9"/>
            <color rgb="FF000000"/>
            <rFont val="Tahoma"/>
            <family val="2"/>
          </rPr>
          <t>Inside Wall: 0.13 m2K/W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Inside Wall: 0.13 m2K/W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Inside Wall: 0.13 m2K/W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Outside Wall: 0.04 m2K/W</t>
        </r>
      </text>
    </comment>
  </commentList>
</comments>
</file>

<file path=xl/sharedStrings.xml><?xml version="1.0" encoding="utf-8"?>
<sst xmlns="http://schemas.openxmlformats.org/spreadsheetml/2006/main" count="524" uniqueCount="244">
  <si>
    <t>Design Compliance</t>
  </si>
  <si>
    <t>Construction Compliance</t>
  </si>
  <si>
    <t>Remarks</t>
  </si>
  <si>
    <t>Item</t>
  </si>
  <si>
    <t>Building Envelope</t>
  </si>
  <si>
    <t>ENERGY EFFICIENCY</t>
  </si>
  <si>
    <t>VERIFIED BY</t>
  </si>
  <si>
    <t>DECLARED BY</t>
  </si>
  <si>
    <t>(Name of Design Professional)</t>
  </si>
  <si>
    <t>(Name of LGU OBO Checker)</t>
  </si>
  <si>
    <t>Signature</t>
  </si>
  <si>
    <t>(Name of In-charge of Construction)</t>
  </si>
  <si>
    <t>Roof plan</t>
  </si>
  <si>
    <t>Design Value</t>
  </si>
  <si>
    <t>Yes/No</t>
  </si>
  <si>
    <t>Applicability</t>
  </si>
  <si>
    <t>Documentation needed</t>
  </si>
  <si>
    <t>Developer</t>
  </si>
  <si>
    <t>Regulator</t>
  </si>
  <si>
    <t>Air Tightness &amp; Moisture Protection</t>
  </si>
  <si>
    <t>a</t>
  </si>
  <si>
    <t>c</t>
  </si>
  <si>
    <t>d</t>
  </si>
  <si>
    <t>b</t>
  </si>
  <si>
    <t>Bay wall sections</t>
  </si>
  <si>
    <t>Enlarged details of building envelope showing required air tightness &amp; moisture protection elements</t>
  </si>
  <si>
    <t>Required</t>
  </si>
  <si>
    <t>Not Required</t>
  </si>
  <si>
    <t>Complied</t>
  </si>
  <si>
    <t>Not Complied</t>
  </si>
  <si>
    <t>Yes</t>
  </si>
  <si>
    <t>No</t>
  </si>
  <si>
    <t>Exempt</t>
  </si>
  <si>
    <t>Document Provided?</t>
  </si>
  <si>
    <t>Ocular Inspection &amp; Verification</t>
  </si>
  <si>
    <t>Product labels</t>
  </si>
  <si>
    <t>Brochures &amp; Catalogs</t>
  </si>
  <si>
    <t>Shopdrawings</t>
  </si>
  <si>
    <t>YesNo</t>
  </si>
  <si>
    <t>Not Applicable</t>
  </si>
  <si>
    <t>Documentation                               needed</t>
  </si>
  <si>
    <t>Provided</t>
  </si>
  <si>
    <t>Not Provided</t>
  </si>
  <si>
    <t xml:space="preserve">Required?          </t>
  </si>
  <si>
    <t xml:space="preserve">Complied?                     </t>
  </si>
  <si>
    <t>GB Measure Applied</t>
  </si>
  <si>
    <t>Design Specification Relevant</t>
  </si>
  <si>
    <t>SHGC CALCULATOR</t>
  </si>
  <si>
    <t>Building Elevations</t>
  </si>
  <si>
    <r>
      <t xml:space="preserve">Gross Wall Area </t>
    </r>
    <r>
      <rPr>
        <sz val="11"/>
        <color theme="1"/>
        <rFont val="Calibri"/>
        <family val="2"/>
        <scheme val="minor"/>
      </rPr>
      <t>(m2)</t>
    </r>
  </si>
  <si>
    <r>
      <rPr>
        <b/>
        <sz val="11"/>
        <color theme="1"/>
        <rFont val="Calibri"/>
        <family val="2"/>
        <scheme val="minor"/>
      </rPr>
      <t>Net Glazing Area</t>
    </r>
    <r>
      <rPr>
        <sz val="11"/>
        <color theme="1"/>
        <rFont val="Calibri"/>
        <family val="2"/>
        <scheme val="minor"/>
      </rPr>
      <t xml:space="preserve"> (m2)</t>
    </r>
  </si>
  <si>
    <r>
      <rPr>
        <b/>
        <sz val="11"/>
        <color theme="1"/>
        <rFont val="Calibri"/>
        <family val="2"/>
        <scheme val="minor"/>
      </rPr>
      <t xml:space="preserve">Window Wall Ratio </t>
    </r>
    <r>
      <rPr>
        <sz val="11"/>
        <color theme="1"/>
        <rFont val="Calibri"/>
        <family val="2"/>
        <scheme val="minor"/>
      </rPr>
      <t>(%)</t>
    </r>
  </si>
  <si>
    <t>MAXIMUM
REQUIRED SHGC</t>
  </si>
  <si>
    <t>MINIMUM VLT</t>
  </si>
  <si>
    <r>
      <t>Horizontal Overhang Depth</t>
    </r>
    <r>
      <rPr>
        <sz val="11"/>
        <color theme="1"/>
        <rFont val="Calibri"/>
        <family val="2"/>
        <scheme val="minor"/>
      </rPr>
      <t xml:space="preserve"> (m)</t>
    </r>
  </si>
  <si>
    <r>
      <t>Height from Window Sill to Bottom of Overhang</t>
    </r>
    <r>
      <rPr>
        <sz val="11"/>
        <color theme="1"/>
        <rFont val="Calibri"/>
        <family val="2"/>
        <scheme val="minor"/>
      </rPr>
      <t xml:space="preserve"> (m)</t>
    </r>
  </si>
  <si>
    <t>D/H</t>
  </si>
  <si>
    <t>Correction Factor</t>
  </si>
  <si>
    <r>
      <t xml:space="preserve">Vertical Fin Depth </t>
    </r>
    <r>
      <rPr>
        <sz val="11"/>
        <color theme="1"/>
        <rFont val="Calibri"/>
        <family val="2"/>
        <scheme val="minor"/>
      </rPr>
      <t>(m)</t>
    </r>
  </si>
  <si>
    <r>
      <t xml:space="preserve">Distance from Opposite Window Edge to Fin </t>
    </r>
    <r>
      <rPr>
        <sz val="11"/>
        <color theme="1"/>
        <rFont val="Calibri"/>
        <family val="2"/>
        <scheme val="minor"/>
      </rPr>
      <t>(m)</t>
    </r>
  </si>
  <si>
    <t>ADJUSTED SHGC</t>
  </si>
  <si>
    <t>Return to Architectural GB Checklist</t>
  </si>
  <si>
    <t>North</t>
  </si>
  <si>
    <t>Northeast</t>
  </si>
  <si>
    <t>Elevations</t>
  </si>
  <si>
    <t>East</t>
  </si>
  <si>
    <t>Southeast</t>
  </si>
  <si>
    <t xml:space="preserve">South </t>
  </si>
  <si>
    <t>Southwest</t>
  </si>
  <si>
    <t>West</t>
  </si>
  <si>
    <t>Northwest</t>
  </si>
  <si>
    <t>TOTAL</t>
  </si>
  <si>
    <t>THERMAL RESISTANCE CALCULATOR</t>
  </si>
  <si>
    <t>Building Roof / Deck Component</t>
  </si>
  <si>
    <t>R-Value per 25.44 mm</t>
  </si>
  <si>
    <t>Total Insulating Value</t>
  </si>
  <si>
    <t>Insulation</t>
  </si>
  <si>
    <t>R-Value / Inch (25.44 mm)</t>
  </si>
  <si>
    <t>Polyisocyanurate</t>
  </si>
  <si>
    <t>Polyurethane</t>
  </si>
  <si>
    <t>Closed cell spray foam</t>
  </si>
  <si>
    <t>Phenolic foam</t>
  </si>
  <si>
    <t>Urea formaldehyde foam</t>
  </si>
  <si>
    <t>Plastic fiber</t>
  </si>
  <si>
    <t>Mineral fiber</t>
  </si>
  <si>
    <t>Cementitious foam</t>
  </si>
  <si>
    <t>Polystyrene</t>
  </si>
  <si>
    <t>Fiberglass</t>
  </si>
  <si>
    <t>Rockwool</t>
  </si>
  <si>
    <t>Rigid foam</t>
  </si>
  <si>
    <t>Cellulose</t>
  </si>
  <si>
    <t>Open cell spray foam</t>
  </si>
  <si>
    <t>Sheep's wool</t>
  </si>
  <si>
    <t>Hemp</t>
  </si>
  <si>
    <t>Cotton</t>
  </si>
  <si>
    <t>Loose cellulose</t>
  </si>
  <si>
    <t>Mineral wool</t>
  </si>
  <si>
    <t>Straw</t>
  </si>
  <si>
    <t>Vermiculite / Perlite</t>
  </si>
  <si>
    <t>Reflective bubble foil</t>
  </si>
  <si>
    <t>Poured Concrete</t>
  </si>
  <si>
    <t xml:space="preserve">Outdoor surface, any position, moving air </t>
  </si>
  <si>
    <t>NA</t>
  </si>
  <si>
    <r>
      <t>Thickness</t>
    </r>
    <r>
      <rPr>
        <sz val="11"/>
        <color theme="1"/>
        <rFont val="Calibri"/>
        <family val="2"/>
        <scheme val="minor"/>
      </rPr>
      <t xml:space="preserve"> (mm)</t>
    </r>
  </si>
  <si>
    <t>Horizontal Indoor Surface</t>
  </si>
  <si>
    <t>MRF FLOOR AREA CALCULATOR</t>
  </si>
  <si>
    <t>Building Use</t>
  </si>
  <si>
    <r>
      <rPr>
        <b/>
        <sz val="11"/>
        <color theme="1"/>
        <rFont val="Calibri"/>
        <family val="2"/>
        <scheme val="minor"/>
      </rPr>
      <t xml:space="preserve">Building TGFA </t>
    </r>
    <r>
      <rPr>
        <sz val="11"/>
        <color theme="1"/>
        <rFont val="Calibri"/>
        <family val="2"/>
        <scheme val="minor"/>
      </rPr>
      <t xml:space="preserve">
(m2)</t>
    </r>
  </si>
  <si>
    <r>
      <rPr>
        <b/>
        <sz val="11"/>
        <color theme="1"/>
        <rFont val="Calibri"/>
        <family val="2"/>
        <scheme val="minor"/>
      </rPr>
      <t>Computed Required MRF Floor Area</t>
    </r>
    <r>
      <rPr>
        <sz val="11"/>
        <color theme="1"/>
        <rFont val="Calibri"/>
        <family val="2"/>
        <scheme val="minor"/>
      </rPr>
      <t xml:space="preserve"> 
(m2)</t>
    </r>
  </si>
  <si>
    <r>
      <rPr>
        <b/>
        <sz val="11"/>
        <color theme="1"/>
        <rFont val="Calibri"/>
        <family val="2"/>
        <scheme val="minor"/>
      </rPr>
      <t>Designed MRF Provision</t>
    </r>
    <r>
      <rPr>
        <sz val="11"/>
        <color theme="1"/>
        <rFont val="Calibri"/>
        <family val="2"/>
        <scheme val="minor"/>
      </rPr>
      <t xml:space="preserve">
(m2)</t>
    </r>
  </si>
  <si>
    <t>Use/Occupancy</t>
  </si>
  <si>
    <t>Hotel</t>
  </si>
  <si>
    <t>Residential</t>
  </si>
  <si>
    <t>Hospital</t>
  </si>
  <si>
    <t>School</t>
  </si>
  <si>
    <t>Office</t>
  </si>
  <si>
    <t>Mercantile/Retail</t>
  </si>
  <si>
    <t>Requirement</t>
  </si>
  <si>
    <t>Façade (&lt;= 45 W/m^2)</t>
  </si>
  <si>
    <t>Roof (&lt;= 45 W/m^2)</t>
  </si>
  <si>
    <t>Overall Thermal Transfer Value Method</t>
  </si>
  <si>
    <t>Uwall ≤ 3.4 W/m2K</t>
  </si>
  <si>
    <t>Roof Reflectance</t>
  </si>
  <si>
    <t>Roof color with a minimum average SRI of 70</t>
  </si>
  <si>
    <t>More than 70% of the roof is back ventilated</t>
  </si>
  <si>
    <t>More than 70% of the roof is covered by solar thermal and/or PV</t>
  </si>
  <si>
    <t>More than 70% of the roof is covered by a green roof</t>
  </si>
  <si>
    <t>Uroof ≤ 1.4 W/m2K</t>
  </si>
  <si>
    <t>Date:</t>
  </si>
  <si>
    <t>14.01.2021</t>
  </si>
  <si>
    <t>Author:</t>
  </si>
  <si>
    <t>ASEP</t>
  </si>
  <si>
    <r>
      <t xml:space="preserve">Calculation Sheet according to OTTV Method of </t>
    </r>
    <r>
      <rPr>
        <b/>
        <i/>
        <sz val="16"/>
        <color theme="1"/>
        <rFont val="Calibri"/>
        <family val="2"/>
        <scheme val="minor"/>
      </rPr>
      <t>Guidelines on Energy Conserving Design of Buildings</t>
    </r>
  </si>
  <si>
    <t>Wall OTTV</t>
  </si>
  <si>
    <t>Façade Name</t>
  </si>
  <si>
    <t>Name</t>
  </si>
  <si>
    <r>
      <t>Net Area
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</si>
  <si>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WWR
[-]</t>
  </si>
  <si>
    <r>
      <t>U-Value
[W/m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K]</t>
    </r>
  </si>
  <si>
    <t>Tdeq / dT [K]</t>
  </si>
  <si>
    <t>SHGC
Glazing [-]</t>
  </si>
  <si>
    <t>SC Shading [-]</t>
  </si>
  <si>
    <t>Façade Orientation</t>
  </si>
  <si>
    <t>Sol. Cor. Factor
[-]</t>
  </si>
  <si>
    <r>
      <t>OTTV [W/m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</si>
  <si>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Wall</t>
  </si>
  <si>
    <t>Brick Wall</t>
  </si>
  <si>
    <t>Horizontal</t>
  </si>
  <si>
    <t>Slope [°]</t>
  </si>
  <si>
    <t>Window</t>
  </si>
  <si>
    <t>Single, no coating</t>
  </si>
  <si>
    <t>Orientation</t>
  </si>
  <si>
    <t>S</t>
  </si>
  <si>
    <t>Retail</t>
  </si>
  <si>
    <t>None</t>
  </si>
  <si>
    <t>No glazing</t>
  </si>
  <si>
    <t>E</t>
  </si>
  <si>
    <t>Slope</t>
  </si>
  <si>
    <r>
      <t>Average OTTV [W/m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]</t>
    </r>
  </si>
  <si>
    <t>Roof OTTV</t>
  </si>
  <si>
    <t>Roof Name</t>
  </si>
  <si>
    <t>Insulated Concrete Roof</t>
  </si>
  <si>
    <t>Roof</t>
  </si>
  <si>
    <t>Insulated Roof</t>
  </si>
  <si>
    <t>Skylight</t>
  </si>
  <si>
    <r>
      <t xml:space="preserve">Calculation Sheet according to Prescreptive Method of </t>
    </r>
    <r>
      <rPr>
        <b/>
        <i/>
        <sz val="16"/>
        <color theme="1"/>
        <rFont val="Calibri"/>
        <family val="2"/>
        <scheme val="minor"/>
      </rPr>
      <t>The Philippine Green Building Code</t>
    </r>
  </si>
  <si>
    <r>
      <t>Wall Net Area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</si>
  <si>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r>
      <t>Window Area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</si>
  <si>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Shading</t>
  </si>
  <si>
    <t>f Shading [-]</t>
  </si>
  <si>
    <t>SHGCadj</t>
  </si>
  <si>
    <t>Window to wall ratio WWR [-]</t>
  </si>
  <si>
    <t>Maximum SHGC [-]</t>
  </si>
  <si>
    <t>&lt;</t>
  </si>
  <si>
    <t>U-value of walls</t>
  </si>
  <si>
    <t>Wall Name:</t>
  </si>
  <si>
    <t>Heat transm. resistance</t>
  </si>
  <si>
    <t>interior [m2K/W]</t>
  </si>
  <si>
    <t>exterior [m2K/W]</t>
  </si>
  <si>
    <t>Material</t>
  </si>
  <si>
    <t>k [W/(mK)]</t>
  </si>
  <si>
    <t>Density [kg/m3]</t>
  </si>
  <si>
    <t>Thickness [m]</t>
  </si>
  <si>
    <t>R-value [m2K/W]</t>
  </si>
  <si>
    <t>Weight [kg/m2]</t>
  </si>
  <si>
    <t>Brick</t>
  </si>
  <si>
    <t>U-value [W/(m2K)]</t>
  </si>
  <si>
    <t>Result:</t>
  </si>
  <si>
    <t>Concrete Wall</t>
  </si>
  <si>
    <t>Concrete</t>
  </si>
  <si>
    <t>Light Concrete</t>
  </si>
  <si>
    <t>Light Weight Concrete</t>
  </si>
  <si>
    <t>ASHRAE</t>
  </si>
  <si>
    <t>U-value of roofs</t>
  </si>
  <si>
    <t>Roof Name:</t>
  </si>
  <si>
    <t>Polysterene</t>
  </si>
  <si>
    <t>Window properties</t>
  </si>
  <si>
    <t>Glazing</t>
  </si>
  <si>
    <t>SHGC [-]</t>
  </si>
  <si>
    <t>Single, low-E</t>
  </si>
  <si>
    <t>Double, low-E</t>
  </si>
  <si>
    <t>ASHRAE 90.1</t>
  </si>
  <si>
    <t>Shading properties</t>
  </si>
  <si>
    <t>Type</t>
  </si>
  <si>
    <t>Depth [m]</t>
  </si>
  <si>
    <t>Height / Width [m]</t>
  </si>
  <si>
    <t>Ratio [-]</t>
  </si>
  <si>
    <t>SC [-]</t>
  </si>
  <si>
    <t>Walls</t>
  </si>
  <si>
    <t>U-value</t>
  </si>
  <si>
    <t>Tdeq [K]</t>
  </si>
  <si>
    <t>Slope Angle</t>
  </si>
  <si>
    <t>N</t>
  </si>
  <si>
    <t>NE</t>
  </si>
  <si>
    <t>SE</t>
  </si>
  <si>
    <t>SW</t>
  </si>
  <si>
    <t>W</t>
  </si>
  <si>
    <t>NW</t>
  </si>
  <si>
    <t>Vertical</t>
  </si>
  <si>
    <t>DOE BUILDING GUIDELINES 2020 COMPLIANCE CHECKLIST</t>
  </si>
  <si>
    <t>Requirements</t>
  </si>
  <si>
    <t>Required value</t>
  </si>
  <si>
    <t>Applies to all building occupancies except buildings and spaces without air-conditioning system</t>
  </si>
  <si>
    <t xml:space="preserve">Prescriptive Method </t>
  </si>
  <si>
    <t>Use OTTV Calculator</t>
  </si>
  <si>
    <t>Architectural floor plans, Building elevations &amp; sections</t>
  </si>
  <si>
    <t>Window Schedule</t>
  </si>
  <si>
    <t>WWR Computation Table</t>
  </si>
  <si>
    <t>Window Glass specifications</t>
  </si>
  <si>
    <t>Technical specs of roof</t>
  </si>
  <si>
    <t>Building elevations &amp; sections</t>
  </si>
  <si>
    <t>Technical specifications of  required air tightness &amp; moisture protection elements</t>
  </si>
  <si>
    <t>Roof plan &amp; section</t>
  </si>
  <si>
    <t>Technical specification of insulation</t>
  </si>
  <si>
    <t>Roof Insulation Computation Table</t>
  </si>
  <si>
    <t>Elevations &amp; wall sections</t>
  </si>
  <si>
    <t>Wall Insulation Computation Table</t>
  </si>
  <si>
    <t>Applies to all building occupancies except buildings and spaces without air-conditioning system. Choose between OTTV or Prescriptive Method</t>
  </si>
  <si>
    <t>Use SHGC Calculator</t>
  </si>
  <si>
    <t>OTTV Calculation</t>
  </si>
  <si>
    <t>The envelope of the building is completely enclosed to minimize the infiltration of warm air and exfiltration of cool air.</t>
  </si>
  <si>
    <t>Limit the window to wall ratio according to Table 6 of the Guidelines on Energy Conserving Design of Buildings</t>
  </si>
  <si>
    <t xml:space="preserve">Opening ratio of skylights ≤ 5% related to the floor area of the room beneath </t>
  </si>
  <si>
    <t>Applies to all building occupancies without exceptions.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</si>
</sst>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00"/>
    <numFmt numFmtId="167" formatCode="0.0%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sz val="9"/>
      <color indexed="81"/>
      <name val="Tahoma"/>
      <family val="2"/>
    </font>
    <font>
      <sz val="10"/>
      <color theme="0" tint="-4.9989318521683403E-2"/>
      <name val="Calibri"/>
      <scheme val="minor"/>
    </font>
    <font>
      <sz val="9"/>
      <color theme="1"/>
      <name val="ProximaNova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000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1">
    <xf numFmtId="0" fontId="0" fillId="0" borderId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20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/>
    <xf numFmtId="0" fontId="10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/>
    <xf numFmtId="0" fontId="1" fillId="0" borderId="22" xfId="0" applyFont="1" applyBorder="1" applyAlignment="1">
      <alignment vertical="top"/>
    </xf>
    <xf numFmtId="0" fontId="1" fillId="0" borderId="22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4" fillId="0" borderId="0" xfId="1"/>
    <xf numFmtId="0" fontId="0" fillId="0" borderId="0" xfId="0" applyFont="1" applyFill="1"/>
    <xf numFmtId="0" fontId="0" fillId="0" borderId="0" xfId="0" applyFont="1"/>
    <xf numFmtId="165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top"/>
    </xf>
    <xf numFmtId="4" fontId="0" fillId="0" borderId="22" xfId="0" applyNumberFormat="1" applyBorder="1"/>
    <xf numFmtId="0" fontId="0" fillId="0" borderId="22" xfId="0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22" xfId="0" applyFont="1" applyBorder="1"/>
    <xf numFmtId="0" fontId="0" fillId="0" borderId="0" xfId="0" applyBorder="1"/>
    <xf numFmtId="0" fontId="0" fillId="6" borderId="22" xfId="0" applyFill="1" applyBorder="1"/>
    <xf numFmtId="4" fontId="0" fillId="6" borderId="22" xfId="0" applyNumberFormat="1" applyFill="1" applyBorder="1"/>
    <xf numFmtId="0" fontId="4" fillId="0" borderId="6" xfId="0" applyFont="1" applyFill="1" applyBorder="1" applyAlignment="1">
      <alignment horizontal="center" vertical="center"/>
    </xf>
    <xf numFmtId="2" fontId="0" fillId="0" borderId="0" xfId="0" applyNumberFormat="1"/>
    <xf numFmtId="0" fontId="19" fillId="0" borderId="0" xfId="0" applyFont="1"/>
    <xf numFmtId="0" fontId="2" fillId="0" borderId="0" xfId="0" applyFont="1"/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0" fillId="0" borderId="22" xfId="0" applyFont="1" applyBorder="1"/>
    <xf numFmtId="166" fontId="23" fillId="12" borderId="22" xfId="19" applyNumberFormat="1" applyFont="1" applyFill="1" applyBorder="1" applyAlignment="1" applyProtection="1">
      <alignment horizontal="center" vertical="center"/>
      <protection locked="0"/>
    </xf>
    <xf numFmtId="165" fontId="23" fillId="12" borderId="22" xfId="19" applyNumberFormat="1" applyFont="1" applyFill="1" applyBorder="1" applyAlignment="1" applyProtection="1">
      <alignment horizontal="center" vertical="center"/>
      <protection locked="0"/>
    </xf>
    <xf numFmtId="166" fontId="24" fillId="13" borderId="22" xfId="19" applyNumberFormat="1" applyFont="1" applyFill="1" applyBorder="1" applyAlignment="1">
      <alignment horizontal="center" vertical="center"/>
    </xf>
    <xf numFmtId="1" fontId="24" fillId="13" borderId="22" xfId="19" applyNumberFormat="1" applyFont="1" applyFill="1" applyBorder="1" applyAlignment="1">
      <alignment horizontal="center" vertical="center"/>
    </xf>
    <xf numFmtId="2" fontId="23" fillId="12" borderId="22" xfId="19" applyNumberFormat="1" applyFont="1" applyFill="1" applyBorder="1" applyAlignment="1" applyProtection="1">
      <alignment horizontal="center" vertical="center"/>
      <protection locked="0"/>
    </xf>
    <xf numFmtId="1" fontId="23" fillId="12" borderId="22" xfId="19" applyNumberFormat="1" applyFont="1" applyFill="1" applyBorder="1" applyAlignment="1" applyProtection="1">
      <alignment horizontal="center" vertical="center"/>
      <protection locked="0"/>
    </xf>
    <xf numFmtId="2" fontId="24" fillId="13" borderId="22" xfId="19" applyNumberFormat="1" applyFont="1" applyFill="1" applyBorder="1" applyAlignment="1">
      <alignment horizontal="center" vertical="center"/>
    </xf>
    <xf numFmtId="165" fontId="1" fillId="0" borderId="0" xfId="0" applyNumberFormat="1" applyFont="1"/>
    <xf numFmtId="1" fontId="0" fillId="0" borderId="0" xfId="0" applyNumberFormat="1"/>
    <xf numFmtId="165" fontId="0" fillId="0" borderId="0" xfId="0" applyNumberFormat="1"/>
    <xf numFmtId="2" fontId="1" fillId="15" borderId="22" xfId="0" applyNumberFormat="1" applyFont="1" applyFill="1" applyBorder="1" applyAlignment="1">
      <alignment horizontal="center" vertical="center" wrapText="1"/>
    </xf>
    <xf numFmtId="2" fontId="0" fillId="14" borderId="0" xfId="0" applyNumberFormat="1" applyFill="1"/>
    <xf numFmtId="166" fontId="25" fillId="13" borderId="22" xfId="19" applyNumberFormat="1" applyFont="1" applyFill="1" applyBorder="1" applyAlignment="1">
      <alignment horizontal="center" vertical="center"/>
    </xf>
    <xf numFmtId="167" fontId="0" fillId="0" borderId="0" xfId="18" applyNumberFormat="1" applyFont="1" applyAlignment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0" borderId="0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0" borderId="0" xfId="0" applyFont="1" applyBorder="1"/>
    <xf numFmtId="166" fontId="23" fillId="12" borderId="46" xfId="19" applyNumberFormat="1" applyFont="1" applyFill="1" applyBorder="1" applyAlignment="1" applyProtection="1">
      <alignment horizontal="left" vertical="center"/>
      <protection locked="0"/>
    </xf>
    <xf numFmtId="166" fontId="23" fillId="12" borderId="46" xfId="19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66" fontId="23" fillId="12" borderId="46" xfId="19" applyNumberFormat="1" applyFont="1" applyFill="1" applyBorder="1" applyAlignment="1" applyProtection="1">
      <alignment vertical="center"/>
      <protection locked="0"/>
    </xf>
    <xf numFmtId="166" fontId="25" fillId="13" borderId="22" xfId="19" applyNumberFormat="1" applyFont="1" applyFill="1" applyBorder="1" applyAlignment="1">
      <alignment horizontal="centerContinuous" vertical="center"/>
    </xf>
    <xf numFmtId="43" fontId="0" fillId="0" borderId="0" xfId="20" applyFont="1" applyBorder="1"/>
    <xf numFmtId="43" fontId="0" fillId="0" borderId="39" xfId="20" applyFont="1" applyBorder="1"/>
    <xf numFmtId="43" fontId="0" fillId="0" borderId="44" xfId="20" applyFont="1" applyBorder="1"/>
    <xf numFmtId="43" fontId="0" fillId="0" borderId="0" xfId="20" applyFont="1" applyBorder="1" applyAlignment="1">
      <alignment horizontal="center"/>
    </xf>
    <xf numFmtId="2" fontId="24" fillId="13" borderId="28" xfId="19" applyNumberFormat="1" applyFont="1" applyFill="1" applyBorder="1" applyAlignment="1">
      <alignment vertical="center"/>
    </xf>
    <xf numFmtId="43" fontId="24" fillId="13" borderId="42" xfId="20" applyFont="1" applyFill="1" applyBorder="1" applyAlignment="1">
      <alignment vertical="center"/>
    </xf>
    <xf numFmtId="43" fontId="0" fillId="0" borderId="0" xfId="20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11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7" fillId="11" borderId="4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13" fillId="11" borderId="22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0" fillId="0" borderId="17" xfId="0" applyBorder="1"/>
    <xf numFmtId="0" fontId="10" fillId="6" borderId="45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6" fillId="0" borderId="22" xfId="0" applyFont="1" applyFill="1" applyBorder="1" applyAlignment="1"/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165" fontId="13" fillId="11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center"/>
    </xf>
    <xf numFmtId="0" fontId="10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164" fontId="10" fillId="6" borderId="22" xfId="21" applyFont="1" applyFill="1" applyBorder="1" applyAlignment="1">
      <alignment horizontal="left" vertical="center"/>
    </xf>
    <xf numFmtId="0" fontId="12" fillId="4" borderId="30" xfId="0" applyFont="1" applyFill="1" applyBorder="1"/>
    <xf numFmtId="0" fontId="0" fillId="0" borderId="7" xfId="0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/>
    <xf numFmtId="0" fontId="0" fillId="0" borderId="50" xfId="0" applyBorder="1"/>
    <xf numFmtId="0" fontId="0" fillId="0" borderId="51" xfId="0" applyBorder="1"/>
    <xf numFmtId="0" fontId="31" fillId="16" borderId="22" xfId="0" applyFont="1" applyFill="1" applyBorder="1" applyAlignment="1">
      <alignment horizontal="center" vertical="center" wrapText="1"/>
    </xf>
    <xf numFmtId="2" fontId="13" fillId="11" borderId="22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left"/>
    </xf>
    <xf numFmtId="0" fontId="6" fillId="7" borderId="22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10" borderId="20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5" fontId="0" fillId="0" borderId="22" xfId="0" applyNumberFormat="1" applyFill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6" borderId="22" xfId="0" applyNumberFormat="1" applyFill="1" applyBorder="1" applyAlignment="1">
      <alignment horizontal="center" vertical="center"/>
    </xf>
    <xf numFmtId="2" fontId="24" fillId="13" borderId="28" xfId="19" applyNumberFormat="1" applyFont="1" applyFill="1" applyBorder="1" applyAlignment="1">
      <alignment horizontal="center" vertical="center"/>
    </xf>
    <xf numFmtId="2" fontId="24" fillId="13" borderId="21" xfId="19" applyNumberFormat="1" applyFont="1" applyFill="1" applyBorder="1" applyAlignment="1">
      <alignment horizontal="center" vertical="center"/>
    </xf>
    <xf numFmtId="165" fontId="25" fillId="13" borderId="28" xfId="19" applyNumberFormat="1" applyFont="1" applyFill="1" applyBorder="1" applyAlignment="1">
      <alignment horizontal="center" vertical="center"/>
    </xf>
    <xf numFmtId="165" fontId="25" fillId="13" borderId="21" xfId="19" applyNumberFormat="1" applyFont="1" applyFill="1" applyBorder="1" applyAlignment="1">
      <alignment horizontal="center" vertical="center"/>
    </xf>
    <xf numFmtId="165" fontId="25" fillId="13" borderId="31" xfId="19" applyNumberFormat="1" applyFont="1" applyFill="1" applyBorder="1" applyAlignment="1">
      <alignment horizontal="center" vertical="center"/>
    </xf>
    <xf numFmtId="165" fontId="25" fillId="13" borderId="32" xfId="19" applyNumberFormat="1" applyFont="1" applyFill="1" applyBorder="1" applyAlignment="1">
      <alignment horizontal="center" vertical="center"/>
    </xf>
    <xf numFmtId="166" fontId="26" fillId="14" borderId="31" xfId="19" applyNumberFormat="1" applyFont="1" applyFill="1" applyBorder="1" applyAlignment="1">
      <alignment horizontal="center" vertical="center" wrapText="1"/>
    </xf>
    <xf numFmtId="166" fontId="26" fillId="14" borderId="32" xfId="19" applyNumberFormat="1" applyFont="1" applyFill="1" applyBorder="1" applyAlignment="1">
      <alignment horizontal="center" vertical="center" wrapText="1"/>
    </xf>
    <xf numFmtId="166" fontId="23" fillId="12" borderId="28" xfId="19" applyNumberFormat="1" applyFont="1" applyFill="1" applyBorder="1" applyAlignment="1" applyProtection="1">
      <alignment horizontal="center" vertical="center"/>
      <protection locked="0"/>
    </xf>
    <xf numFmtId="166" fontId="23" fillId="12" borderId="21" xfId="19" applyNumberFormat="1" applyFont="1" applyFill="1" applyBorder="1" applyAlignment="1" applyProtection="1">
      <alignment horizontal="center" vertical="center"/>
      <protection locked="0"/>
    </xf>
    <xf numFmtId="9" fontId="24" fillId="13" borderId="28" xfId="18" applyFont="1" applyFill="1" applyBorder="1" applyAlignment="1">
      <alignment horizontal="center" vertical="center"/>
    </xf>
    <xf numFmtId="9" fontId="24" fillId="13" borderId="21" xfId="18" applyFont="1" applyFill="1" applyBorder="1" applyAlignment="1">
      <alignment horizontal="center" vertical="center"/>
    </xf>
    <xf numFmtId="166" fontId="23" fillId="12" borderId="28" xfId="19" applyNumberFormat="1" applyFont="1" applyFill="1" applyBorder="1" applyAlignment="1" applyProtection="1">
      <alignment horizontal="center" vertical="center" wrapText="1"/>
      <protection locked="0"/>
    </xf>
    <xf numFmtId="166" fontId="23" fillId="12" borderId="21" xfId="19" applyNumberFormat="1" applyFont="1" applyFill="1" applyBorder="1" applyAlignment="1" applyProtection="1">
      <alignment horizontal="center" vertical="center" wrapText="1"/>
      <protection locked="0"/>
    </xf>
    <xf numFmtId="2" fontId="24" fillId="13" borderId="22" xfId="19" applyNumberFormat="1" applyFont="1" applyFill="1" applyBorder="1" applyAlignment="1">
      <alignment horizontal="center" vertical="center"/>
    </xf>
    <xf numFmtId="165" fontId="25" fillId="13" borderId="22" xfId="19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6" fontId="25" fillId="13" borderId="33" xfId="19" applyNumberFormat="1" applyFont="1" applyFill="1" applyBorder="1" applyAlignment="1">
      <alignment horizontal="center" vertical="center"/>
    </xf>
    <xf numFmtId="166" fontId="25" fillId="13" borderId="34" xfId="19" applyNumberFormat="1" applyFont="1" applyFill="1" applyBorder="1" applyAlignment="1">
      <alignment horizontal="center" vertical="center"/>
    </xf>
    <xf numFmtId="166" fontId="25" fillId="13" borderId="35" xfId="19" applyNumberFormat="1" applyFont="1" applyFill="1" applyBorder="1" applyAlignment="1">
      <alignment horizontal="center" vertical="center"/>
    </xf>
    <xf numFmtId="166" fontId="25" fillId="13" borderId="36" xfId="19" applyNumberFormat="1" applyFont="1" applyFill="1" applyBorder="1" applyAlignment="1">
      <alignment horizontal="center" vertical="center"/>
    </xf>
    <xf numFmtId="166" fontId="25" fillId="13" borderId="37" xfId="1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41">
    <cellStyle name="Comma" xfId="21" builtinId="3"/>
    <cellStyle name="Comma 2" xfId="20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Hyperlink" xfId="1" builtinId="8"/>
    <cellStyle name="Normal" xfId="0" builtinId="0"/>
    <cellStyle name="Percent" xfId="18" builtinId="5"/>
    <cellStyle name="Standard_LEG HZ-K Formular" xfId="1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942975</xdr:colOff>
      <xdr:row>3</xdr:row>
      <xdr:rowOff>12032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CB8C5DA-3158-409D-A2C1-3CBCAEB0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25" y="0"/>
          <a:ext cx="933450" cy="545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942975</xdr:colOff>
      <xdr:row>3</xdr:row>
      <xdr:rowOff>12032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37B1F3E-F860-D849-8FC6-72E6AA46E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5" y="0"/>
          <a:ext cx="933450" cy="54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27</xdr:row>
      <xdr:rowOff>0</xdr:rowOff>
    </xdr:from>
    <xdr:to>
      <xdr:col>5</xdr:col>
      <xdr:colOff>648462</xdr:colOff>
      <xdr:row>38</xdr:row>
      <xdr:rowOff>66977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DB92E82-FDEF-4B1A-99DA-684DD0AA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675" y="4902200"/>
          <a:ext cx="6118987" cy="20227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0</xdr:rowOff>
    </xdr:from>
    <xdr:to>
      <xdr:col>21</xdr:col>
      <xdr:colOff>324747</xdr:colOff>
      <xdr:row>29</xdr:row>
      <xdr:rowOff>48403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CC8C1E5-11A7-440D-9F11-C811C71EF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1075" y="0"/>
          <a:ext cx="7128772" cy="52046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324746</xdr:colOff>
      <xdr:row>53</xdr:row>
      <xdr:rowOff>106199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1B18E4F3-5204-49EF-A86F-88A1BA124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055746" cy="95295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53</xdr:row>
      <xdr:rowOff>9525</xdr:rowOff>
    </xdr:from>
    <xdr:to>
      <xdr:col>10</xdr:col>
      <xdr:colOff>343773</xdr:colOff>
      <xdr:row>68</xdr:row>
      <xdr:rowOff>114713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A905D791-F2C0-4591-8327-4E213F6B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9432925"/>
          <a:ext cx="6893798" cy="2772188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</xdr:row>
      <xdr:rowOff>0</xdr:rowOff>
    </xdr:from>
    <xdr:to>
      <xdr:col>39</xdr:col>
      <xdr:colOff>472240</xdr:colOff>
      <xdr:row>28</xdr:row>
      <xdr:rowOff>162665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C8DBE3B7-1616-4244-B387-820C1F24E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81300" y="177800"/>
          <a:ext cx="11241840" cy="4963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mple%20Interactive%20GB%20Cod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tectural"/>
      <sheetName val="SHGC CALCULATOR"/>
      <sheetName val="Sheet2"/>
    </sheetNames>
    <sheetDataSet>
      <sheetData sheetId="0"/>
      <sheetData sheetId="1"/>
      <sheetData sheetId="2">
        <row r="2">
          <cell r="B2" t="str">
            <v>North</v>
          </cell>
        </row>
        <row r="3">
          <cell r="B3" t="str">
            <v>Northeast</v>
          </cell>
        </row>
        <row r="4">
          <cell r="B4" t="str">
            <v>East</v>
          </cell>
        </row>
        <row r="5">
          <cell r="B5" t="str">
            <v>Southeast</v>
          </cell>
        </row>
        <row r="6">
          <cell r="B6" t="str">
            <v xml:space="preserve">South </v>
          </cell>
        </row>
        <row r="7">
          <cell r="B7" t="str">
            <v>Southwest</v>
          </cell>
        </row>
        <row r="8">
          <cell r="B8" t="str">
            <v>West</v>
          </cell>
        </row>
        <row r="9">
          <cell r="B9" t="str">
            <v>Northwest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view="pageBreakPreview" zoomScale="150" zoomScaleNormal="150" zoomScaleSheetLayoutView="90" zoomScalePageLayoutView="150" workbookViewId="0">
      <selection activeCell="C43" sqref="C43:E43"/>
    </sheetView>
  </sheetViews>
  <sheetFormatPr defaultColWidth="8.77734375" defaultRowHeight="14.4"/>
  <cols>
    <col min="1" max="1" width="7.33203125" customWidth="1"/>
    <col min="2" max="2" width="38.109375" customWidth="1"/>
    <col min="3" max="3" width="15.6640625" customWidth="1"/>
    <col min="4" max="4" width="16.77734375" style="34" bestFit="1" customWidth="1"/>
    <col min="5" max="5" width="11" style="35" bestFit="1" customWidth="1"/>
    <col min="6" max="6" width="20.77734375" customWidth="1"/>
    <col min="7" max="8" width="10.33203125" customWidth="1"/>
    <col min="9" max="9" width="16.6640625" customWidth="1"/>
    <col min="10" max="10" width="20.77734375" hidden="1" customWidth="1"/>
    <col min="11" max="11" width="10.77734375" hidden="1" customWidth="1"/>
    <col min="12" max="12" width="10.6640625" hidden="1" customWidth="1"/>
    <col min="13" max="13" width="16.6640625" hidden="1" customWidth="1"/>
  </cols>
  <sheetData>
    <row r="1" spans="1:13" ht="18.600000000000001" thickBot="1">
      <c r="A1" s="108" t="s">
        <v>219</v>
      </c>
      <c r="B1" s="109"/>
      <c r="C1" s="110"/>
      <c r="D1" s="111"/>
      <c r="E1" s="111"/>
      <c r="F1" s="110"/>
      <c r="G1" s="110"/>
      <c r="H1" s="110"/>
      <c r="I1" s="110"/>
      <c r="J1" s="1"/>
      <c r="K1" s="1"/>
      <c r="L1" s="1"/>
      <c r="M1" s="2"/>
    </row>
    <row r="2" spans="1:13" ht="18.600000000000001" thickBot="1">
      <c r="A2" s="126"/>
      <c r="B2" s="142" t="s">
        <v>5</v>
      </c>
      <c r="C2" s="142"/>
      <c r="D2" s="147" t="s">
        <v>17</v>
      </c>
      <c r="E2" s="148"/>
      <c r="F2" s="149" t="s">
        <v>18</v>
      </c>
      <c r="G2" s="149"/>
      <c r="H2" s="149"/>
      <c r="I2" s="150"/>
      <c r="J2" s="151" t="s">
        <v>18</v>
      </c>
      <c r="K2" s="151"/>
      <c r="L2" s="151"/>
      <c r="M2" s="152"/>
    </row>
    <row r="3" spans="1:13" ht="15" thickBot="1">
      <c r="A3" s="144" t="s">
        <v>3</v>
      </c>
      <c r="B3" s="146" t="s">
        <v>220</v>
      </c>
      <c r="C3" s="143" t="s">
        <v>15</v>
      </c>
      <c r="D3" s="145" t="s">
        <v>221</v>
      </c>
      <c r="E3" s="153" t="s">
        <v>13</v>
      </c>
      <c r="F3" s="161" t="s">
        <v>0</v>
      </c>
      <c r="G3" s="161"/>
      <c r="H3" s="161"/>
      <c r="I3" s="162"/>
      <c r="J3" s="154" t="s">
        <v>1</v>
      </c>
      <c r="K3" s="154"/>
      <c r="L3" s="154"/>
      <c r="M3" s="155"/>
    </row>
    <row r="4" spans="1:13" ht="15" customHeight="1">
      <c r="A4" s="144"/>
      <c r="B4" s="146"/>
      <c r="C4" s="143"/>
      <c r="D4" s="145"/>
      <c r="E4" s="153"/>
      <c r="F4" s="160" t="s">
        <v>16</v>
      </c>
      <c r="G4" s="167" t="s">
        <v>33</v>
      </c>
      <c r="H4" s="167" t="s">
        <v>46</v>
      </c>
      <c r="I4" s="168"/>
      <c r="J4" s="163" t="s">
        <v>16</v>
      </c>
      <c r="K4" s="165" t="s">
        <v>33</v>
      </c>
      <c r="L4" s="156" t="s">
        <v>45</v>
      </c>
      <c r="M4" s="157"/>
    </row>
    <row r="5" spans="1:13" ht="11.25" customHeight="1" thickBot="1">
      <c r="A5" s="144"/>
      <c r="B5" s="146"/>
      <c r="C5" s="143"/>
      <c r="D5" s="145"/>
      <c r="E5" s="153"/>
      <c r="F5" s="160"/>
      <c r="G5" s="167"/>
      <c r="H5" s="167"/>
      <c r="I5" s="168"/>
      <c r="J5" s="164"/>
      <c r="K5" s="166"/>
      <c r="L5" s="158"/>
      <c r="M5" s="159"/>
    </row>
    <row r="6" spans="1:13" ht="18.600000000000001" thickBot="1">
      <c r="A6" s="140" t="s">
        <v>4</v>
      </c>
      <c r="B6" s="141"/>
      <c r="C6" s="112"/>
      <c r="D6" s="113"/>
      <c r="E6" s="114"/>
      <c r="F6" s="33"/>
      <c r="G6" s="115" t="s">
        <v>14</v>
      </c>
      <c r="H6" s="115" t="s">
        <v>14</v>
      </c>
      <c r="I6" s="127" t="s">
        <v>2</v>
      </c>
      <c r="J6" s="37"/>
      <c r="K6" s="4" t="s">
        <v>14</v>
      </c>
      <c r="L6" s="4" t="s">
        <v>14</v>
      </c>
      <c r="M6" s="5" t="s">
        <v>2</v>
      </c>
    </row>
    <row r="7" spans="1:13" ht="27" customHeight="1" thickBot="1">
      <c r="A7" s="128">
        <v>1</v>
      </c>
      <c r="B7" s="95" t="s">
        <v>120</v>
      </c>
      <c r="C7" s="116"/>
      <c r="D7" s="134" t="s">
        <v>224</v>
      </c>
      <c r="E7" s="96" t="s">
        <v>13</v>
      </c>
      <c r="F7" s="33"/>
      <c r="G7" s="89"/>
      <c r="H7" s="89"/>
      <c r="I7" s="127"/>
      <c r="J7" s="102"/>
      <c r="K7" s="9"/>
      <c r="L7" s="9"/>
      <c r="M7" s="10"/>
    </row>
    <row r="8" spans="1:13" ht="55.05" customHeight="1">
      <c r="A8" s="129" t="s">
        <v>20</v>
      </c>
      <c r="B8" s="117" t="s">
        <v>118</v>
      </c>
      <c r="C8" s="139" t="s">
        <v>237</v>
      </c>
      <c r="D8" s="118">
        <v>45</v>
      </c>
      <c r="E8" s="99"/>
      <c r="F8" s="100" t="s">
        <v>225</v>
      </c>
      <c r="G8" s="14"/>
      <c r="H8" s="7"/>
      <c r="I8" s="12"/>
      <c r="J8" s="103" t="s">
        <v>34</v>
      </c>
      <c r="K8" s="17"/>
      <c r="L8" s="8"/>
      <c r="M8" s="18"/>
    </row>
    <row r="9" spans="1:13" ht="55.05" customHeight="1">
      <c r="A9" s="129" t="s">
        <v>23</v>
      </c>
      <c r="B9" s="117" t="s">
        <v>119</v>
      </c>
      <c r="C9" s="139"/>
      <c r="D9" s="118">
        <v>45</v>
      </c>
      <c r="E9" s="99"/>
      <c r="F9" s="100" t="s">
        <v>226</v>
      </c>
      <c r="G9" s="14"/>
      <c r="H9" s="7"/>
      <c r="I9" s="12"/>
      <c r="J9" s="104" t="s">
        <v>35</v>
      </c>
      <c r="K9" s="16"/>
      <c r="L9" s="8"/>
      <c r="M9" s="12"/>
    </row>
    <row r="10" spans="1:13">
      <c r="A10" s="129"/>
      <c r="B10" s="117"/>
      <c r="C10" s="101"/>
      <c r="D10" s="118"/>
      <c r="E10" s="99"/>
      <c r="F10" s="100" t="s">
        <v>227</v>
      </c>
      <c r="G10" s="14"/>
      <c r="H10" s="7"/>
      <c r="I10" s="12"/>
      <c r="J10" s="105"/>
      <c r="K10" s="91"/>
      <c r="L10" s="92"/>
      <c r="M10" s="90"/>
    </row>
    <row r="11" spans="1:13" ht="27.6">
      <c r="A11" s="129"/>
      <c r="B11" s="117"/>
      <c r="C11" s="101"/>
      <c r="D11" s="98"/>
      <c r="E11" s="99"/>
      <c r="F11" s="100" t="s">
        <v>228</v>
      </c>
      <c r="G11" s="14"/>
      <c r="H11" s="7"/>
      <c r="I11" s="12"/>
      <c r="J11" s="105"/>
      <c r="K11" s="91"/>
      <c r="L11" s="92"/>
      <c r="M11" s="90"/>
    </row>
    <row r="12" spans="1:13">
      <c r="A12" s="129"/>
      <c r="B12" s="117"/>
      <c r="C12" s="101"/>
      <c r="D12" s="98"/>
      <c r="E12" s="99"/>
      <c r="F12" s="100" t="s">
        <v>232</v>
      </c>
      <c r="G12" s="14"/>
      <c r="H12" s="7"/>
      <c r="I12" s="12"/>
      <c r="J12" s="105"/>
      <c r="K12" s="91"/>
      <c r="L12" s="92"/>
      <c r="M12" s="90"/>
    </row>
    <row r="13" spans="1:13" ht="27.6">
      <c r="A13" s="129"/>
      <c r="B13" s="117"/>
      <c r="C13" s="101"/>
      <c r="D13" s="98"/>
      <c r="E13" s="99"/>
      <c r="F13" s="100" t="s">
        <v>233</v>
      </c>
      <c r="G13" s="14"/>
      <c r="H13" s="7"/>
      <c r="I13" s="12"/>
      <c r="J13" s="105"/>
      <c r="K13" s="91"/>
      <c r="L13" s="92"/>
      <c r="M13" s="90"/>
    </row>
    <row r="14" spans="1:13" ht="27.6">
      <c r="A14" s="129"/>
      <c r="B14" s="117"/>
      <c r="C14" s="101"/>
      <c r="D14" s="98"/>
      <c r="E14" s="99"/>
      <c r="F14" s="100" t="s">
        <v>234</v>
      </c>
      <c r="G14" s="14"/>
      <c r="H14" s="7"/>
      <c r="I14" s="12"/>
      <c r="J14" s="105"/>
      <c r="K14" s="91"/>
      <c r="L14" s="92"/>
      <c r="M14" s="90"/>
    </row>
    <row r="15" spans="1:13" ht="27.6">
      <c r="A15" s="129"/>
      <c r="B15" s="117"/>
      <c r="C15" s="101"/>
      <c r="D15" s="98"/>
      <c r="E15" s="99"/>
      <c r="F15" s="100" t="s">
        <v>235</v>
      </c>
      <c r="G15" s="14"/>
      <c r="H15" s="7"/>
      <c r="I15" s="12"/>
      <c r="J15" s="105"/>
      <c r="K15" s="91"/>
      <c r="L15" s="92"/>
      <c r="M15" s="90"/>
    </row>
    <row r="16" spans="1:13" ht="27.6">
      <c r="A16" s="129"/>
      <c r="B16" s="117"/>
      <c r="C16" s="101"/>
      <c r="D16" s="98"/>
      <c r="E16" s="99"/>
      <c r="F16" s="100" t="s">
        <v>233</v>
      </c>
      <c r="G16" s="14"/>
      <c r="H16" s="7"/>
      <c r="I16" s="12"/>
      <c r="J16" s="105"/>
      <c r="K16" s="91"/>
      <c r="L16" s="92"/>
      <c r="M16" s="90"/>
    </row>
    <row r="17" spans="1:17" ht="27.6">
      <c r="A17" s="129"/>
      <c r="B17" s="117"/>
      <c r="C17" s="101"/>
      <c r="D17" s="98"/>
      <c r="E17" s="99"/>
      <c r="F17" s="100" t="s">
        <v>236</v>
      </c>
      <c r="G17" s="14"/>
      <c r="H17" s="7"/>
      <c r="I17" s="12"/>
      <c r="J17" s="105"/>
      <c r="K17" s="91"/>
      <c r="L17" s="92"/>
      <c r="M17" s="90"/>
    </row>
    <row r="18" spans="1:17" ht="15" thickBot="1">
      <c r="A18" s="129"/>
      <c r="B18" s="117"/>
      <c r="C18" s="101"/>
      <c r="D18" s="98"/>
      <c r="E18" s="99"/>
      <c r="F18" s="100" t="s">
        <v>239</v>
      </c>
      <c r="G18" s="14"/>
      <c r="H18" s="7"/>
      <c r="I18" s="12"/>
      <c r="J18" s="105"/>
      <c r="K18" s="91"/>
      <c r="L18" s="92"/>
      <c r="M18" s="90"/>
    </row>
    <row r="19" spans="1:17" ht="28.2" thickBot="1">
      <c r="A19" s="128">
        <v>2</v>
      </c>
      <c r="B19" s="119" t="s">
        <v>223</v>
      </c>
      <c r="C19" s="101"/>
      <c r="D19" s="134" t="s">
        <v>238</v>
      </c>
      <c r="E19" s="96" t="s">
        <v>13</v>
      </c>
      <c r="F19" s="33"/>
      <c r="G19" s="89"/>
      <c r="H19" s="89"/>
      <c r="I19" s="127"/>
      <c r="J19" s="102"/>
      <c r="K19" s="9"/>
      <c r="L19" s="9"/>
      <c r="M19" s="10"/>
    </row>
    <row r="20" spans="1:17" ht="40.049999999999997" customHeight="1">
      <c r="A20" s="129" t="s">
        <v>20</v>
      </c>
      <c r="B20" s="97" t="s">
        <v>241</v>
      </c>
      <c r="C20" s="139" t="s">
        <v>237</v>
      </c>
      <c r="D20" s="135">
        <v>0.24</v>
      </c>
      <c r="E20" s="99"/>
      <c r="F20" s="100" t="s">
        <v>225</v>
      </c>
      <c r="G20" s="14"/>
      <c r="H20" s="7"/>
      <c r="I20" s="12"/>
      <c r="J20" s="103" t="s">
        <v>34</v>
      </c>
      <c r="K20" s="17"/>
      <c r="L20" s="8"/>
      <c r="M20" s="40"/>
    </row>
    <row r="21" spans="1:17" ht="40.049999999999997" customHeight="1">
      <c r="A21" s="129" t="s">
        <v>23</v>
      </c>
      <c r="B21" s="138" t="s">
        <v>242</v>
      </c>
      <c r="C21" s="139"/>
      <c r="D21" s="98" t="s">
        <v>26</v>
      </c>
      <c r="E21" s="99"/>
      <c r="F21" s="100" t="s">
        <v>226</v>
      </c>
      <c r="G21" s="14"/>
      <c r="H21" s="7"/>
      <c r="I21" s="12"/>
      <c r="J21" s="104" t="s">
        <v>35</v>
      </c>
      <c r="K21" s="16"/>
      <c r="L21" s="8"/>
      <c r="M21" s="12"/>
      <c r="N21" s="86"/>
      <c r="O21" s="87"/>
      <c r="P21" s="87"/>
      <c r="Q21" s="37"/>
    </row>
    <row r="22" spans="1:17" ht="40.049999999999997" customHeight="1">
      <c r="A22" s="129" t="s">
        <v>21</v>
      </c>
      <c r="B22" s="117" t="s">
        <v>121</v>
      </c>
      <c r="C22" s="139"/>
      <c r="D22" s="135">
        <v>3.4</v>
      </c>
      <c r="E22" s="99"/>
      <c r="F22" s="100" t="s">
        <v>227</v>
      </c>
      <c r="G22" s="14"/>
      <c r="H22" s="7"/>
      <c r="I22" s="12"/>
      <c r="J22" s="104" t="s">
        <v>36</v>
      </c>
      <c r="K22" s="16"/>
      <c r="L22" s="8"/>
      <c r="M22" s="12"/>
      <c r="N22" s="86"/>
      <c r="O22" s="88"/>
      <c r="P22" s="87"/>
      <c r="Q22" s="37"/>
    </row>
    <row r="23" spans="1:17" ht="40.049999999999997" customHeight="1">
      <c r="A23" s="129" t="s">
        <v>22</v>
      </c>
      <c r="B23" s="97" t="s">
        <v>127</v>
      </c>
      <c r="C23" s="139"/>
      <c r="D23" s="135">
        <v>1.4</v>
      </c>
      <c r="E23" s="99"/>
      <c r="F23" s="100" t="s">
        <v>228</v>
      </c>
      <c r="G23" s="14"/>
      <c r="H23" s="7"/>
      <c r="I23" s="12"/>
      <c r="J23" s="104" t="s">
        <v>37</v>
      </c>
      <c r="K23" s="16"/>
      <c r="L23" s="8"/>
      <c r="M23" s="12"/>
      <c r="N23" s="86"/>
      <c r="O23" s="87"/>
      <c r="P23" s="87"/>
      <c r="Q23" s="37"/>
    </row>
    <row r="24" spans="1:17">
      <c r="A24" s="129"/>
      <c r="B24" s="97"/>
      <c r="C24" s="101"/>
      <c r="D24" s="98"/>
      <c r="E24" s="99"/>
      <c r="F24" s="100" t="s">
        <v>232</v>
      </c>
      <c r="G24" s="14"/>
      <c r="H24" s="7"/>
      <c r="I24" s="12"/>
      <c r="J24" s="105"/>
      <c r="K24" s="91"/>
      <c r="L24" s="92"/>
      <c r="M24" s="90"/>
      <c r="N24" s="86"/>
      <c r="O24" s="87"/>
      <c r="P24" s="87"/>
      <c r="Q24" s="37"/>
    </row>
    <row r="25" spans="1:17" ht="27.6">
      <c r="A25" s="129"/>
      <c r="B25" s="97"/>
      <c r="C25" s="101"/>
      <c r="D25" s="98"/>
      <c r="E25" s="99"/>
      <c r="F25" s="100" t="s">
        <v>233</v>
      </c>
      <c r="G25" s="14"/>
      <c r="H25" s="7"/>
      <c r="I25" s="12"/>
      <c r="J25" s="105"/>
      <c r="K25" s="91"/>
      <c r="L25" s="92"/>
      <c r="M25" s="90"/>
      <c r="N25" s="86"/>
      <c r="O25" s="87"/>
      <c r="P25" s="87"/>
      <c r="Q25" s="37"/>
    </row>
    <row r="26" spans="1:17" ht="27.6">
      <c r="A26" s="129"/>
      <c r="B26" s="97"/>
      <c r="C26" s="101"/>
      <c r="D26" s="98"/>
      <c r="E26" s="99"/>
      <c r="F26" s="100" t="s">
        <v>234</v>
      </c>
      <c r="G26" s="14"/>
      <c r="H26" s="7"/>
      <c r="I26" s="12"/>
      <c r="J26" s="105"/>
      <c r="K26" s="91"/>
      <c r="L26" s="92"/>
      <c r="M26" s="90"/>
      <c r="N26" s="86"/>
      <c r="O26" s="87"/>
      <c r="P26" s="87"/>
      <c r="Q26" s="37"/>
    </row>
    <row r="27" spans="1:17" ht="27.6">
      <c r="A27" s="129"/>
      <c r="B27" s="97"/>
      <c r="C27" s="101"/>
      <c r="D27" s="98"/>
      <c r="E27" s="99"/>
      <c r="F27" s="100" t="s">
        <v>235</v>
      </c>
      <c r="G27" s="14"/>
      <c r="H27" s="7"/>
      <c r="I27" s="12"/>
      <c r="J27" s="105"/>
      <c r="K27" s="91"/>
      <c r="L27" s="92"/>
      <c r="M27" s="90"/>
      <c r="N27" s="86"/>
      <c r="O27" s="87"/>
      <c r="P27" s="87"/>
      <c r="Q27" s="37"/>
    </row>
    <row r="28" spans="1:17" ht="27.6">
      <c r="A28" s="129"/>
      <c r="B28" s="97"/>
      <c r="C28" s="101"/>
      <c r="D28" s="98"/>
      <c r="E28" s="99"/>
      <c r="F28" s="100" t="s">
        <v>233</v>
      </c>
      <c r="G28" s="14"/>
      <c r="H28" s="7"/>
      <c r="I28" s="12"/>
      <c r="J28" s="105"/>
      <c r="K28" s="91"/>
      <c r="L28" s="92"/>
      <c r="M28" s="90"/>
      <c r="N28" s="86"/>
      <c r="O28" s="87"/>
      <c r="P28" s="87"/>
      <c r="Q28" s="37"/>
    </row>
    <row r="29" spans="1:17" ht="27.6">
      <c r="A29" s="129"/>
      <c r="B29" s="97"/>
      <c r="C29" s="101"/>
      <c r="D29" s="98"/>
      <c r="E29" s="99"/>
      <c r="F29" s="100" t="s">
        <v>236</v>
      </c>
      <c r="G29" s="14"/>
      <c r="H29" s="7"/>
      <c r="I29" s="12"/>
      <c r="J29" s="105"/>
      <c r="K29" s="91"/>
      <c r="L29" s="92"/>
      <c r="M29" s="90"/>
      <c r="N29" s="86"/>
      <c r="O29" s="87"/>
      <c r="P29" s="87"/>
      <c r="Q29" s="37"/>
    </row>
    <row r="30" spans="1:17" ht="15" thickBot="1">
      <c r="A30" s="129"/>
      <c r="B30" s="97"/>
      <c r="C30" s="101"/>
      <c r="D30" s="98"/>
      <c r="E30" s="99"/>
      <c r="F30" s="100"/>
      <c r="G30" s="14"/>
      <c r="H30" s="7"/>
      <c r="I30" s="12"/>
      <c r="J30" s="105"/>
      <c r="K30" s="91"/>
      <c r="L30" s="92"/>
      <c r="M30" s="90"/>
      <c r="N30" s="86"/>
      <c r="O30" s="87"/>
      <c r="P30" s="87"/>
      <c r="Q30" s="37"/>
    </row>
    <row r="31" spans="1:17" ht="27" customHeight="1" thickBot="1">
      <c r="A31" s="128">
        <v>3</v>
      </c>
      <c r="B31" s="95" t="s">
        <v>19</v>
      </c>
      <c r="C31" s="136"/>
      <c r="D31" s="96" t="s">
        <v>43</v>
      </c>
      <c r="E31" s="96" t="s">
        <v>44</v>
      </c>
      <c r="F31" s="33"/>
      <c r="G31" s="89"/>
      <c r="H31" s="89"/>
      <c r="I31" s="127"/>
      <c r="J31" s="102"/>
      <c r="K31" s="9"/>
      <c r="L31" s="9"/>
      <c r="M31" s="10"/>
      <c r="N31" s="86"/>
      <c r="O31" s="87"/>
      <c r="P31" s="87"/>
      <c r="Q31" s="37"/>
    </row>
    <row r="32" spans="1:17" ht="110.4">
      <c r="A32" s="129" t="s">
        <v>20</v>
      </c>
      <c r="B32" s="97" t="s">
        <v>240</v>
      </c>
      <c r="C32" s="136" t="s">
        <v>222</v>
      </c>
      <c r="D32" s="98"/>
      <c r="E32" s="99"/>
      <c r="F32" s="100" t="s">
        <v>24</v>
      </c>
      <c r="G32" s="14"/>
      <c r="H32" s="7"/>
      <c r="I32" s="12"/>
      <c r="J32" s="103" t="s">
        <v>34</v>
      </c>
      <c r="K32" s="17"/>
      <c r="L32" s="8"/>
      <c r="M32" s="40"/>
      <c r="N32" s="86"/>
      <c r="O32" s="86"/>
      <c r="P32" s="86"/>
    </row>
    <row r="33" spans="1:13" ht="69">
      <c r="A33" s="129"/>
      <c r="B33" s="97"/>
      <c r="C33" s="137"/>
      <c r="D33" s="98"/>
      <c r="E33" s="99"/>
      <c r="F33" s="100" t="s">
        <v>25</v>
      </c>
      <c r="G33" s="14"/>
      <c r="H33" s="7"/>
      <c r="I33" s="12"/>
      <c r="J33" s="104" t="s">
        <v>35</v>
      </c>
      <c r="K33" s="16"/>
      <c r="L33" s="8"/>
      <c r="M33" s="12"/>
    </row>
    <row r="34" spans="1:13" ht="27.6">
      <c r="A34" s="129"/>
      <c r="B34" s="97"/>
      <c r="C34" s="101"/>
      <c r="D34" s="98"/>
      <c r="E34" s="99"/>
      <c r="F34" s="100" t="s">
        <v>230</v>
      </c>
      <c r="G34" s="14"/>
      <c r="H34" s="7"/>
      <c r="I34" s="12"/>
      <c r="J34" s="105"/>
      <c r="K34" s="94"/>
      <c r="L34" s="92"/>
      <c r="M34" s="93"/>
    </row>
    <row r="35" spans="1:13" ht="55.2">
      <c r="A35" s="129"/>
      <c r="B35" s="97"/>
      <c r="C35" s="101"/>
      <c r="D35" s="98"/>
      <c r="E35" s="99"/>
      <c r="F35" s="100" t="s">
        <v>231</v>
      </c>
      <c r="G35" s="14"/>
      <c r="H35" s="7"/>
      <c r="I35" s="12"/>
      <c r="J35" s="105"/>
      <c r="K35" s="94"/>
      <c r="L35" s="92"/>
      <c r="M35" s="93"/>
    </row>
    <row r="36" spans="1:13">
      <c r="A36" s="129"/>
      <c r="B36" s="97"/>
      <c r="C36" s="101"/>
      <c r="D36" s="98"/>
      <c r="E36" s="99"/>
      <c r="F36" s="100"/>
      <c r="G36" s="14"/>
      <c r="H36" s="7"/>
      <c r="I36" s="12"/>
      <c r="J36" s="105"/>
      <c r="K36" s="94"/>
      <c r="L36" s="92"/>
      <c r="M36" s="93"/>
    </row>
    <row r="37" spans="1:13" ht="15" thickBot="1">
      <c r="A37" s="129"/>
      <c r="B37" s="97"/>
      <c r="C37" s="101"/>
      <c r="D37" s="98"/>
      <c r="E37" s="99"/>
      <c r="F37" s="100"/>
      <c r="G37" s="14"/>
      <c r="H37" s="7"/>
      <c r="I37" s="12"/>
      <c r="J37" s="105"/>
      <c r="K37" s="94"/>
      <c r="L37" s="92"/>
      <c r="M37" s="93"/>
    </row>
    <row r="38" spans="1:13" ht="26.25" customHeight="1" thickBot="1">
      <c r="A38" s="130">
        <v>4</v>
      </c>
      <c r="B38" s="120" t="s">
        <v>122</v>
      </c>
      <c r="C38" s="139" t="s">
        <v>243</v>
      </c>
      <c r="D38" s="96" t="s">
        <v>43</v>
      </c>
      <c r="E38" s="96" t="s">
        <v>44</v>
      </c>
      <c r="F38" s="121"/>
      <c r="G38" s="122"/>
      <c r="H38" s="169"/>
      <c r="I38" s="170"/>
      <c r="J38" s="106" t="s">
        <v>40</v>
      </c>
      <c r="K38" s="13" t="s">
        <v>33</v>
      </c>
      <c r="L38" s="185" t="s">
        <v>45</v>
      </c>
      <c r="M38" s="186"/>
    </row>
    <row r="39" spans="1:13" ht="30" customHeight="1" thickBot="1">
      <c r="A39" s="129" t="s">
        <v>20</v>
      </c>
      <c r="B39" s="97" t="s">
        <v>123</v>
      </c>
      <c r="C39" s="139"/>
      <c r="D39" s="123"/>
      <c r="E39" s="99"/>
      <c r="F39" s="124" t="s">
        <v>12</v>
      </c>
      <c r="G39" s="14"/>
      <c r="H39" s="7"/>
      <c r="I39" s="12"/>
      <c r="J39" s="107" t="s">
        <v>34</v>
      </c>
      <c r="K39" s="15"/>
      <c r="L39" s="3"/>
      <c r="M39" s="11"/>
    </row>
    <row r="40" spans="1:13" ht="30" customHeight="1" thickBot="1">
      <c r="A40" s="129" t="s">
        <v>23</v>
      </c>
      <c r="B40" s="97" t="s">
        <v>124</v>
      </c>
      <c r="C40" s="139"/>
      <c r="D40" s="123"/>
      <c r="E40" s="99"/>
      <c r="F40" s="125" t="s">
        <v>229</v>
      </c>
      <c r="G40" s="14"/>
      <c r="H40" s="7"/>
      <c r="I40" s="12"/>
      <c r="J40" s="107" t="s">
        <v>34</v>
      </c>
      <c r="K40" s="15"/>
      <c r="L40" s="3"/>
      <c r="M40" s="11"/>
    </row>
    <row r="41" spans="1:13" ht="30" customHeight="1" thickBot="1">
      <c r="A41" s="129" t="s">
        <v>21</v>
      </c>
      <c r="B41" s="97" t="s">
        <v>125</v>
      </c>
      <c r="C41" s="139"/>
      <c r="D41" s="123"/>
      <c r="E41" s="99"/>
      <c r="F41" s="124"/>
      <c r="G41" s="14"/>
      <c r="H41" s="7"/>
      <c r="I41" s="12"/>
      <c r="J41" s="107" t="s">
        <v>34</v>
      </c>
      <c r="K41" s="15"/>
      <c r="L41" s="3"/>
      <c r="M41" s="11"/>
    </row>
    <row r="42" spans="1:13" ht="30" customHeight="1" thickBot="1">
      <c r="A42" s="129" t="s">
        <v>22</v>
      </c>
      <c r="B42" s="97" t="s">
        <v>126</v>
      </c>
      <c r="C42" s="139"/>
      <c r="D42" s="123"/>
      <c r="E42" s="99"/>
      <c r="F42" s="124"/>
      <c r="G42" s="14"/>
      <c r="H42" s="7"/>
      <c r="I42" s="12"/>
      <c r="J42" s="107" t="s">
        <v>34</v>
      </c>
      <c r="K42" s="15"/>
      <c r="L42" s="3"/>
      <c r="M42" s="11"/>
    </row>
    <row r="43" spans="1:13">
      <c r="A43" s="131"/>
      <c r="B43" s="33" t="s">
        <v>7</v>
      </c>
      <c r="C43" s="183" t="s">
        <v>10</v>
      </c>
      <c r="D43" s="183"/>
      <c r="E43" s="183"/>
      <c r="F43" s="173" t="s">
        <v>10</v>
      </c>
      <c r="G43" s="173"/>
      <c r="H43" s="173"/>
      <c r="I43" s="174"/>
      <c r="J43" s="187" t="s">
        <v>10</v>
      </c>
      <c r="K43" s="187"/>
      <c r="L43" s="187"/>
      <c r="M43" s="188"/>
    </row>
    <row r="44" spans="1:13" ht="27.75" customHeight="1" thickBot="1">
      <c r="A44" s="131"/>
      <c r="B44" s="33" t="s">
        <v>8</v>
      </c>
      <c r="C44" s="184"/>
      <c r="D44" s="184"/>
      <c r="E44" s="184"/>
      <c r="F44" s="175"/>
      <c r="G44" s="175"/>
      <c r="H44" s="175"/>
      <c r="I44" s="176"/>
      <c r="J44" s="189"/>
      <c r="K44" s="189"/>
      <c r="L44" s="189"/>
      <c r="M44" s="190"/>
    </row>
    <row r="45" spans="1:13">
      <c r="A45" s="131"/>
      <c r="B45" s="33" t="s">
        <v>7</v>
      </c>
      <c r="C45" s="182"/>
      <c r="D45" s="182"/>
      <c r="E45" s="182"/>
      <c r="F45" s="179"/>
      <c r="G45" s="179"/>
      <c r="H45" s="179"/>
      <c r="I45" s="180"/>
      <c r="J45" s="187" t="s">
        <v>10</v>
      </c>
      <c r="K45" s="187"/>
      <c r="L45" s="187"/>
      <c r="M45" s="188"/>
    </row>
    <row r="46" spans="1:13" ht="27.75" customHeight="1" thickBot="1">
      <c r="A46" s="131"/>
      <c r="B46" s="33" t="s">
        <v>11</v>
      </c>
      <c r="C46" s="182"/>
      <c r="D46" s="182"/>
      <c r="E46" s="182"/>
      <c r="F46" s="179"/>
      <c r="G46" s="179"/>
      <c r="H46" s="179"/>
      <c r="I46" s="180"/>
      <c r="J46" s="171"/>
      <c r="K46" s="171"/>
      <c r="L46" s="171"/>
      <c r="M46" s="172"/>
    </row>
    <row r="47" spans="1:13">
      <c r="A47" s="131"/>
      <c r="B47" s="33" t="s">
        <v>6</v>
      </c>
      <c r="C47" s="183" t="s">
        <v>10</v>
      </c>
      <c r="D47" s="183"/>
      <c r="E47" s="183"/>
      <c r="F47" s="173" t="s">
        <v>10</v>
      </c>
      <c r="G47" s="173"/>
      <c r="H47" s="173"/>
      <c r="I47" s="174"/>
      <c r="J47" s="187" t="s">
        <v>10</v>
      </c>
      <c r="K47" s="187"/>
      <c r="L47" s="187"/>
      <c r="M47" s="188"/>
    </row>
    <row r="48" spans="1:13" ht="30" customHeight="1" thickBot="1">
      <c r="A48" s="132"/>
      <c r="B48" s="133" t="s">
        <v>9</v>
      </c>
      <c r="C48" s="181"/>
      <c r="D48" s="181"/>
      <c r="E48" s="181"/>
      <c r="F48" s="177"/>
      <c r="G48" s="177"/>
      <c r="H48" s="177"/>
      <c r="I48" s="178"/>
      <c r="J48" s="171"/>
      <c r="K48" s="171"/>
      <c r="L48" s="171"/>
      <c r="M48" s="172"/>
    </row>
  </sheetData>
  <mergeCells count="39">
    <mergeCell ref="L38:M38"/>
    <mergeCell ref="J43:M43"/>
    <mergeCell ref="J44:M44"/>
    <mergeCell ref="J45:M45"/>
    <mergeCell ref="J47:M47"/>
    <mergeCell ref="J46:M46"/>
    <mergeCell ref="C48:E48"/>
    <mergeCell ref="C45:E46"/>
    <mergeCell ref="C43:E43"/>
    <mergeCell ref="C44:E44"/>
    <mergeCell ref="C47:E47"/>
    <mergeCell ref="J48:M48"/>
    <mergeCell ref="F43:I43"/>
    <mergeCell ref="F47:I47"/>
    <mergeCell ref="F44:I44"/>
    <mergeCell ref="F48:I48"/>
    <mergeCell ref="F45:I46"/>
    <mergeCell ref="J2:M2"/>
    <mergeCell ref="E3:E5"/>
    <mergeCell ref="J3:M3"/>
    <mergeCell ref="L4:M5"/>
    <mergeCell ref="F4:F5"/>
    <mergeCell ref="F3:I3"/>
    <mergeCell ref="J4:J5"/>
    <mergeCell ref="K4:K5"/>
    <mergeCell ref="H4:I5"/>
    <mergeCell ref="G4:G5"/>
    <mergeCell ref="D3:D5"/>
    <mergeCell ref="B3:B5"/>
    <mergeCell ref="D2:E2"/>
    <mergeCell ref="C38:C42"/>
    <mergeCell ref="F2:I2"/>
    <mergeCell ref="H38:I38"/>
    <mergeCell ref="C8:C9"/>
    <mergeCell ref="C20:C23"/>
    <mergeCell ref="A6:B6"/>
    <mergeCell ref="B2:C2"/>
    <mergeCell ref="C3:C5"/>
    <mergeCell ref="A3:A5"/>
  </mergeCells>
  <dataValidations count="3">
    <dataValidation type="list" allowBlank="1" showInputMessage="1" showErrorMessage="1" sqref="D39:D42 D32:D37 D11:D18 D24:D30 D21">
      <formula1>Required</formula1>
    </dataValidation>
    <dataValidation type="list" allowBlank="1" showInputMessage="1" showErrorMessage="1" sqref="E39:E42 E8:E18 E20:E30 E32:E37">
      <formula1>Complied</formula1>
    </dataValidation>
    <dataValidation type="list" allowBlank="1" showInputMessage="1" showErrorMessage="1" sqref="G8:H18 K8:L18 G39:H42 K32:L37 G20:H30 K20:L30 G32:H37 K39:L42">
      <formula1>YesNo</formula1>
    </dataValidation>
  </dataValidations>
  <pageMargins left="0.25" right="0.25" top="0" bottom="0" header="0.3" footer="0.3"/>
  <pageSetup paperSize="5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0"/>
  <sheetViews>
    <sheetView workbookViewId="0">
      <selection activeCell="G45" sqref="G45"/>
    </sheetView>
  </sheetViews>
  <sheetFormatPr defaultColWidth="8.77734375" defaultRowHeight="14.4"/>
  <sheetData>
    <row r="3" spans="1:10">
      <c r="B3" t="s">
        <v>208</v>
      </c>
      <c r="C3" t="s">
        <v>209</v>
      </c>
      <c r="D3" t="s">
        <v>184</v>
      </c>
      <c r="E3" t="s">
        <v>210</v>
      </c>
    </row>
    <row r="4" spans="1:10">
      <c r="B4" t="str">
        <f>IF(Walls!$D$6="","NA",Walls!$D$6)</f>
        <v>Brick Wall</v>
      </c>
      <c r="C4" s="84">
        <f>Walls!$D$19</f>
        <v>2.7170636116973168</v>
      </c>
      <c r="D4" s="56">
        <f>Walls!$E$19</f>
        <v>288.75</v>
      </c>
      <c r="E4" s="56">
        <f>IF($D$4&lt;=125,15,0)+IF(AND($D$4&gt;125,$D$4&lt;=195),12,0)+IF($D$4&gt;195,10,0)</f>
        <v>10</v>
      </c>
    </row>
    <row r="5" spans="1:10">
      <c r="B5" t="str">
        <f>IF(Walls!$D$22="","NA",Walls!$D$22)</f>
        <v>Concrete Wall</v>
      </c>
      <c r="C5" s="84">
        <f>Walls!$D$35</f>
        <v>4.1780147186648886</v>
      </c>
      <c r="D5" s="56">
        <f>Walls!$E$35</f>
        <v>240</v>
      </c>
      <c r="E5" s="56">
        <f>IF($D$5&lt;=125,15,0)+IF(AND($D$5&gt;125,$D$5&lt;=195),12,0)+IF($D$5&gt;195,10,0)</f>
        <v>10</v>
      </c>
    </row>
    <row r="6" spans="1:10">
      <c r="B6" t="str">
        <f>IF(Walls!$D$38="","NA",Walls!$D$38)</f>
        <v>Light Concrete</v>
      </c>
      <c r="C6" s="84">
        <f>Walls!$D$51</f>
        <v>1.5036474616644335</v>
      </c>
      <c r="D6" s="56">
        <f>Walls!$E$51</f>
        <v>144</v>
      </c>
      <c r="E6" s="56">
        <f>IF($D$6&lt;=125,15,0)+IF(AND($D$6&gt;125,$D$6&lt;=195),12,0)+IF($D$6&gt;195,10,0)</f>
        <v>12</v>
      </c>
    </row>
    <row r="7" spans="1:10">
      <c r="B7" t="str">
        <f>IF(Walls!$D$54="","NA",Walls!$D$54)</f>
        <v>ASHRAE</v>
      </c>
      <c r="C7" s="84">
        <f>Walls!$D$67</f>
        <v>1.3678840684393481</v>
      </c>
      <c r="D7" s="56">
        <f>Walls!$E$67</f>
        <v>163.20000000000002</v>
      </c>
      <c r="E7" s="56">
        <f>IF($D$7&lt;=125,15,0)+IF(AND($D$7&gt;125,$D$7&lt;=195),12,0)+IF($D$7&gt;195,10,0)</f>
        <v>12</v>
      </c>
    </row>
    <row r="8" spans="1:10">
      <c r="B8" t="str">
        <f>IF(Walls!$D$70="","NA",Walls!$D$70)</f>
        <v>NA</v>
      </c>
      <c r="C8" s="84">
        <f>Walls!$D$83</f>
        <v>5.8823529411764701</v>
      </c>
      <c r="D8" s="56">
        <f>Walls!$E$83</f>
        <v>0</v>
      </c>
      <c r="E8" s="56">
        <f>IF($D$8&lt;=125,15,0)+IF(AND($D$8&gt;125,$D$8&lt;=195),12,0)+IF($D$8&gt;195,10,0)</f>
        <v>15</v>
      </c>
    </row>
    <row r="11" spans="1:10">
      <c r="A11" s="217" t="s">
        <v>145</v>
      </c>
      <c r="B11" s="218" t="s">
        <v>211</v>
      </c>
      <c r="C11" s="219" t="s">
        <v>151</v>
      </c>
      <c r="D11" s="219"/>
      <c r="E11" s="219"/>
      <c r="F11" s="219"/>
      <c r="G11" s="219"/>
      <c r="H11" s="219"/>
      <c r="I11" s="219"/>
      <c r="J11" s="219"/>
    </row>
    <row r="12" spans="1:10">
      <c r="A12" s="217"/>
      <c r="B12" s="218"/>
      <c r="C12" s="85" t="s">
        <v>212</v>
      </c>
      <c r="D12" s="85" t="s">
        <v>213</v>
      </c>
      <c r="E12" s="85" t="s">
        <v>156</v>
      </c>
      <c r="F12" s="85" t="s">
        <v>214</v>
      </c>
      <c r="G12" s="85" t="s">
        <v>152</v>
      </c>
      <c r="H12" s="85" t="s">
        <v>215</v>
      </c>
      <c r="I12" s="85" t="s">
        <v>216</v>
      </c>
      <c r="J12" s="85" t="s">
        <v>217</v>
      </c>
    </row>
    <row r="13" spans="1:10">
      <c r="A13" s="217"/>
      <c r="B13">
        <v>70</v>
      </c>
      <c r="C13" s="41">
        <v>1.32</v>
      </c>
      <c r="D13" s="41">
        <v>1.63</v>
      </c>
      <c r="E13" s="41">
        <v>1.89</v>
      </c>
      <c r="F13" s="41">
        <v>1.65</v>
      </c>
      <c r="G13" s="41">
        <v>1.32</v>
      </c>
      <c r="H13" s="41">
        <v>1.65</v>
      </c>
      <c r="I13" s="41">
        <v>1.89</v>
      </c>
      <c r="J13" s="41">
        <v>1.63</v>
      </c>
    </row>
    <row r="14" spans="1:10">
      <c r="A14" s="217"/>
      <c r="B14">
        <v>75</v>
      </c>
      <c r="C14" s="41">
        <v>1.17</v>
      </c>
      <c r="D14" s="41">
        <v>1.48</v>
      </c>
      <c r="E14" s="41">
        <v>1.75</v>
      </c>
      <c r="F14" s="41">
        <v>1.5</v>
      </c>
      <c r="G14" s="41">
        <v>1.18</v>
      </c>
      <c r="H14" s="41">
        <v>1.5</v>
      </c>
      <c r="I14" s="41">
        <v>1.75</v>
      </c>
      <c r="J14" s="41">
        <v>1.48</v>
      </c>
    </row>
    <row r="15" spans="1:10">
      <c r="A15" s="217"/>
      <c r="B15">
        <v>80</v>
      </c>
      <c r="C15" s="41">
        <v>1.03</v>
      </c>
      <c r="D15" s="41">
        <v>1.33</v>
      </c>
      <c r="E15" s="41">
        <v>1.59</v>
      </c>
      <c r="F15" s="41">
        <v>1.35</v>
      </c>
      <c r="G15" s="41">
        <v>1.04</v>
      </c>
      <c r="H15" s="41">
        <v>1.35</v>
      </c>
      <c r="I15" s="41">
        <v>1.59</v>
      </c>
      <c r="J15" s="41">
        <v>1.33</v>
      </c>
    </row>
    <row r="16" spans="1:10">
      <c r="A16" s="217"/>
      <c r="B16">
        <v>85</v>
      </c>
      <c r="C16" s="41">
        <v>0.87</v>
      </c>
      <c r="D16" s="41">
        <v>1.17</v>
      </c>
      <c r="E16" s="41">
        <v>1.42</v>
      </c>
      <c r="F16" s="41">
        <v>1.19</v>
      </c>
      <c r="G16" s="41">
        <v>0.89</v>
      </c>
      <c r="H16" s="41">
        <v>1.19</v>
      </c>
      <c r="I16" s="41">
        <v>1.42</v>
      </c>
      <c r="J16" s="41">
        <v>1.17</v>
      </c>
    </row>
    <row r="17" spans="1:10">
      <c r="A17" s="217"/>
      <c r="B17">
        <v>90</v>
      </c>
      <c r="C17" s="41">
        <v>0.72</v>
      </c>
      <c r="D17" s="41">
        <v>1</v>
      </c>
      <c r="E17" s="41">
        <v>1.25</v>
      </c>
      <c r="F17" s="41">
        <v>1.02</v>
      </c>
      <c r="G17" s="41">
        <v>0.74</v>
      </c>
      <c r="H17" s="41">
        <v>1.02</v>
      </c>
      <c r="I17" s="41">
        <v>1.25</v>
      </c>
      <c r="J17" s="41">
        <v>1</v>
      </c>
    </row>
    <row r="21" spans="1:10">
      <c r="B21" t="s">
        <v>168</v>
      </c>
    </row>
    <row r="22" spans="1:10">
      <c r="B22" t="s">
        <v>154</v>
      </c>
    </row>
    <row r="23" spans="1:10">
      <c r="B23" t="s">
        <v>147</v>
      </c>
    </row>
    <row r="24" spans="1:10">
      <c r="B24" t="s">
        <v>218</v>
      </c>
    </row>
    <row r="27" spans="1:10">
      <c r="B27" t="s">
        <v>162</v>
      </c>
      <c r="C27" t="s">
        <v>209</v>
      </c>
      <c r="D27" t="s">
        <v>184</v>
      </c>
      <c r="E27" t="s">
        <v>210</v>
      </c>
    </row>
    <row r="28" spans="1:10">
      <c r="B28" t="str">
        <f>IF(Roof!$D$6="","NA",Roof!$D$6)</f>
        <v>Insulated Roof</v>
      </c>
      <c r="C28" s="84">
        <f>Roof!$D$19</f>
        <v>0.56076830702414804</v>
      </c>
      <c r="D28" s="56">
        <f>Roof!$E$19</f>
        <v>480.8</v>
      </c>
      <c r="E28" s="56">
        <f>IF(D28&lt;=50,24,0)+IF(AND(D28&gt;50,D28&lt;=230),20,0)+IF(D28&gt;230,16,0)</f>
        <v>16</v>
      </c>
    </row>
    <row r="29" spans="1:10">
      <c r="B29" t="str">
        <f>IF(Roof!$D$22="","NA",Roof!$D$22)</f>
        <v>NA</v>
      </c>
      <c r="C29" s="84">
        <f>Roof!$D$35</f>
        <v>0</v>
      </c>
      <c r="D29" s="56">
        <f>Roof!$E$35</f>
        <v>0</v>
      </c>
      <c r="E29" s="56">
        <f t="shared" ref="E29:E32" si="0">IF(D29&lt;=50,24,0)+IF(AND(D29&gt;50,D29&lt;=230),20,0)+IF(D29&gt;230,16,0)</f>
        <v>24</v>
      </c>
    </row>
    <row r="30" spans="1:10">
      <c r="B30" t="str">
        <f>IF(Roof!$D$38="","NA",Roof!$D$38)</f>
        <v>NA</v>
      </c>
      <c r="C30" s="84">
        <f>Roof!$D$51</f>
        <v>0</v>
      </c>
      <c r="D30" s="56">
        <f>Roof!$E$51</f>
        <v>0</v>
      </c>
      <c r="E30" s="56">
        <f t="shared" si="0"/>
        <v>24</v>
      </c>
    </row>
    <row r="31" spans="1:10">
      <c r="B31" t="str">
        <f>IF(Roof!$D$54="","NA",Roof!$D$54)</f>
        <v>NA</v>
      </c>
      <c r="C31" s="84">
        <f>Roof!$D$67</f>
        <v>0</v>
      </c>
      <c r="D31" s="56">
        <f>Roof!$E$67</f>
        <v>0</v>
      </c>
      <c r="E31" s="56">
        <f t="shared" si="0"/>
        <v>24</v>
      </c>
    </row>
    <row r="32" spans="1:10">
      <c r="B32" t="str">
        <f>IF(Roof!$D$70="","NA",Roof!$D$70)</f>
        <v>NA</v>
      </c>
      <c r="C32" s="84">
        <f>Roof!$D$83</f>
        <v>0</v>
      </c>
      <c r="D32" s="56">
        <f>Roof!$E$83</f>
        <v>0</v>
      </c>
      <c r="E32" s="56">
        <f t="shared" si="0"/>
        <v>24</v>
      </c>
    </row>
    <row r="33" spans="1:10">
      <c r="C33" s="84"/>
    </row>
    <row r="35" spans="1:10" ht="15" customHeight="1">
      <c r="A35" s="217" t="s">
        <v>162</v>
      </c>
      <c r="B35" s="218" t="s">
        <v>211</v>
      </c>
      <c r="C35" s="219" t="s">
        <v>151</v>
      </c>
      <c r="D35" s="219"/>
      <c r="E35" s="219"/>
      <c r="F35" s="219"/>
      <c r="G35" s="219"/>
      <c r="H35" s="219"/>
      <c r="I35" s="219"/>
      <c r="J35" s="219"/>
    </row>
    <row r="36" spans="1:10">
      <c r="A36" s="217"/>
      <c r="B36" s="218"/>
      <c r="C36" s="85" t="s">
        <v>212</v>
      </c>
      <c r="D36" s="85" t="s">
        <v>213</v>
      </c>
      <c r="E36" s="85" t="s">
        <v>156</v>
      </c>
      <c r="F36" s="85" t="s">
        <v>214</v>
      </c>
      <c r="G36" s="85" t="s">
        <v>152</v>
      </c>
      <c r="H36" s="85" t="s">
        <v>215</v>
      </c>
      <c r="I36" s="85" t="s">
        <v>216</v>
      </c>
      <c r="J36" s="85" t="s">
        <v>217</v>
      </c>
    </row>
    <row r="37" spans="1:10">
      <c r="A37" s="217"/>
      <c r="B37">
        <v>0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</row>
    <row r="38" spans="1:10">
      <c r="A38" s="217"/>
      <c r="B38">
        <v>5</v>
      </c>
      <c r="C38">
        <v>1</v>
      </c>
      <c r="D38">
        <v>1.01</v>
      </c>
      <c r="E38">
        <v>1.02</v>
      </c>
      <c r="F38">
        <v>1.02</v>
      </c>
      <c r="G38">
        <v>1</v>
      </c>
      <c r="H38">
        <v>1.02</v>
      </c>
      <c r="I38">
        <v>1.02</v>
      </c>
      <c r="J38">
        <v>1.01</v>
      </c>
    </row>
    <row r="39" spans="1:10">
      <c r="A39" s="217"/>
      <c r="B39">
        <v>10</v>
      </c>
      <c r="C39">
        <v>1.01</v>
      </c>
      <c r="D39">
        <v>1.03</v>
      </c>
      <c r="E39">
        <v>1.04</v>
      </c>
      <c r="F39">
        <v>1.03</v>
      </c>
      <c r="G39">
        <v>1.01</v>
      </c>
      <c r="H39">
        <v>1.03</v>
      </c>
      <c r="I39">
        <v>1.04</v>
      </c>
      <c r="J39">
        <v>1.03</v>
      </c>
    </row>
    <row r="40" spans="1:10">
      <c r="A40" s="217"/>
      <c r="B40">
        <v>15</v>
      </c>
      <c r="C40">
        <v>1.01</v>
      </c>
      <c r="D40">
        <v>1.03</v>
      </c>
      <c r="E40">
        <v>1.05</v>
      </c>
      <c r="F40">
        <v>1.03</v>
      </c>
      <c r="G40">
        <v>1.01</v>
      </c>
      <c r="H40">
        <v>1.03</v>
      </c>
      <c r="I40">
        <v>1.05</v>
      </c>
      <c r="J40">
        <v>1.03</v>
      </c>
    </row>
    <row r="41" spans="1:10">
      <c r="A41" s="217"/>
      <c r="B41">
        <v>20</v>
      </c>
      <c r="C41">
        <v>1</v>
      </c>
      <c r="D41">
        <v>1.03</v>
      </c>
      <c r="E41">
        <v>1.06</v>
      </c>
      <c r="F41">
        <v>1.03</v>
      </c>
      <c r="G41">
        <v>1.01</v>
      </c>
      <c r="H41">
        <v>1.03</v>
      </c>
      <c r="I41">
        <v>1.06</v>
      </c>
      <c r="J41">
        <v>1.03</v>
      </c>
    </row>
    <row r="42" spans="1:10">
      <c r="A42" s="217"/>
      <c r="B42">
        <v>25</v>
      </c>
      <c r="C42">
        <v>0.98</v>
      </c>
      <c r="D42">
        <v>1.02</v>
      </c>
      <c r="E42">
        <v>1.06</v>
      </c>
      <c r="F42">
        <v>1.03</v>
      </c>
      <c r="G42">
        <v>0.99</v>
      </c>
      <c r="H42">
        <v>1.03</v>
      </c>
      <c r="I42">
        <v>1.06</v>
      </c>
      <c r="J42">
        <v>1.02</v>
      </c>
    </row>
    <row r="43" spans="1:10">
      <c r="A43" s="217"/>
      <c r="B43">
        <v>30</v>
      </c>
      <c r="C43">
        <v>0.95</v>
      </c>
      <c r="D43">
        <v>1.01</v>
      </c>
      <c r="E43">
        <v>1.03</v>
      </c>
      <c r="F43">
        <v>1.01</v>
      </c>
      <c r="G43">
        <v>0.97</v>
      </c>
      <c r="H43">
        <v>1.01</v>
      </c>
      <c r="I43">
        <v>1.05</v>
      </c>
      <c r="J43">
        <v>1.01</v>
      </c>
    </row>
    <row r="44" spans="1:10">
      <c r="A44" s="217"/>
      <c r="B44">
        <v>35</v>
      </c>
      <c r="C44">
        <v>0.93</v>
      </c>
      <c r="D44">
        <v>0.98</v>
      </c>
      <c r="E44">
        <v>1.03</v>
      </c>
      <c r="F44">
        <v>0.99</v>
      </c>
      <c r="G44">
        <v>0.94</v>
      </c>
      <c r="H44">
        <v>0.99</v>
      </c>
      <c r="I44">
        <v>1.03</v>
      </c>
      <c r="J44">
        <v>0.98</v>
      </c>
    </row>
    <row r="45" spans="1:10">
      <c r="A45" s="217"/>
      <c r="B45">
        <v>40</v>
      </c>
      <c r="C45">
        <v>0.9</v>
      </c>
      <c r="D45">
        <v>0.96</v>
      </c>
      <c r="E45">
        <v>1.01</v>
      </c>
      <c r="F45">
        <v>0.96</v>
      </c>
      <c r="G45">
        <v>0.91</v>
      </c>
      <c r="H45">
        <v>0.96</v>
      </c>
      <c r="I45">
        <v>1.01</v>
      </c>
      <c r="J45">
        <v>0.96</v>
      </c>
    </row>
    <row r="46" spans="1:10">
      <c r="A46" s="217"/>
      <c r="B46">
        <v>45</v>
      </c>
      <c r="C46">
        <v>0.86</v>
      </c>
      <c r="D46">
        <v>0.92</v>
      </c>
      <c r="E46">
        <v>0.98</v>
      </c>
      <c r="F46">
        <v>0.92</v>
      </c>
      <c r="G46">
        <v>0.87</v>
      </c>
      <c r="H46">
        <v>0.93</v>
      </c>
      <c r="I46">
        <v>0.98</v>
      </c>
      <c r="J46">
        <v>0.92</v>
      </c>
    </row>
    <row r="47" spans="1:10">
      <c r="A47" s="217"/>
      <c r="B47">
        <v>50</v>
      </c>
      <c r="C47">
        <v>0.81</v>
      </c>
      <c r="D47">
        <v>0.89</v>
      </c>
      <c r="E47">
        <v>0.95</v>
      </c>
      <c r="F47">
        <v>0.89</v>
      </c>
      <c r="G47">
        <v>0.83</v>
      </c>
      <c r="H47">
        <v>0.89</v>
      </c>
      <c r="I47">
        <v>0.95</v>
      </c>
      <c r="J47">
        <v>0.89</v>
      </c>
    </row>
    <row r="48" spans="1:10">
      <c r="A48" s="217"/>
      <c r="B48">
        <v>55</v>
      </c>
      <c r="C48">
        <v>0.77</v>
      </c>
      <c r="D48">
        <v>0.84</v>
      </c>
      <c r="E48">
        <v>0.91</v>
      </c>
      <c r="F48">
        <v>0.85</v>
      </c>
      <c r="G48">
        <v>0.78</v>
      </c>
      <c r="H48">
        <v>0.85</v>
      </c>
      <c r="I48">
        <v>0.91</v>
      </c>
      <c r="J48">
        <v>0.84</v>
      </c>
    </row>
    <row r="49" spans="1:10">
      <c r="A49" s="217"/>
      <c r="B49">
        <v>60</v>
      </c>
      <c r="C49">
        <v>0.71</v>
      </c>
      <c r="D49">
        <v>0.85</v>
      </c>
      <c r="E49">
        <v>0.86</v>
      </c>
      <c r="F49">
        <v>0.8</v>
      </c>
      <c r="G49">
        <v>0.73</v>
      </c>
      <c r="H49">
        <v>0.8</v>
      </c>
      <c r="I49">
        <v>0.86</v>
      </c>
      <c r="J49">
        <v>0.79</v>
      </c>
    </row>
    <row r="50" spans="1:10">
      <c r="A50" s="217"/>
      <c r="B50">
        <v>65</v>
      </c>
      <c r="C50">
        <v>0.66</v>
      </c>
      <c r="D50">
        <v>0.74</v>
      </c>
      <c r="E50">
        <v>0.81</v>
      </c>
      <c r="F50">
        <v>0.75</v>
      </c>
      <c r="G50">
        <v>0.67</v>
      </c>
      <c r="H50">
        <v>0.75</v>
      </c>
      <c r="I50">
        <v>0.81</v>
      </c>
      <c r="J50">
        <v>0.74</v>
      </c>
    </row>
  </sheetData>
  <mergeCells count="6">
    <mergeCell ref="A11:A17"/>
    <mergeCell ref="B11:B12"/>
    <mergeCell ref="C11:J11"/>
    <mergeCell ref="A35:A50"/>
    <mergeCell ref="B35:B36"/>
    <mergeCell ref="C35:J35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="85" zoomScaleNormal="85" zoomScalePageLayoutView="85" workbookViewId="0">
      <selection activeCell="G45" sqref="G45"/>
    </sheetView>
  </sheetViews>
  <sheetFormatPr defaultColWidth="8.77734375" defaultRowHeight="14.4"/>
  <sheetData>
    <row r="2" spans="1:1">
      <c r="A2" s="19"/>
    </row>
  </sheetData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2" sqref="E2:E9"/>
    </sheetView>
  </sheetViews>
  <sheetFormatPr defaultColWidth="8.77734375" defaultRowHeight="14.4"/>
  <cols>
    <col min="1" max="1" width="13.33203125" customWidth="1"/>
    <col min="2" max="2" width="12.6640625" customWidth="1"/>
    <col min="3" max="3" width="11.6640625" customWidth="1"/>
    <col min="4" max="4" width="13" customWidth="1"/>
    <col min="6" max="6" width="19" bestFit="1" customWidth="1"/>
    <col min="7" max="7" width="22.33203125" bestFit="1" customWidth="1"/>
    <col min="8" max="8" width="14.6640625" bestFit="1" customWidth="1"/>
    <col min="9" max="9" width="11.44140625" customWidth="1"/>
  </cols>
  <sheetData>
    <row r="1" spans="1:9">
      <c r="A1" s="19" t="s">
        <v>26</v>
      </c>
      <c r="B1" s="19" t="s">
        <v>28</v>
      </c>
      <c r="C1" s="19" t="s">
        <v>38</v>
      </c>
      <c r="D1" s="19" t="s">
        <v>41</v>
      </c>
      <c r="E1" s="19" t="s">
        <v>64</v>
      </c>
      <c r="F1" s="19" t="s">
        <v>76</v>
      </c>
      <c r="G1" s="19" t="s">
        <v>77</v>
      </c>
      <c r="H1" s="19" t="s">
        <v>110</v>
      </c>
      <c r="I1" s="19" t="s">
        <v>117</v>
      </c>
    </row>
    <row r="2" spans="1:9">
      <c r="A2" s="6" t="s">
        <v>26</v>
      </c>
      <c r="B2" s="6" t="s">
        <v>28</v>
      </c>
      <c r="C2" s="6" t="s">
        <v>30</v>
      </c>
      <c r="D2" s="6" t="s">
        <v>41</v>
      </c>
      <c r="E2" s="24" t="s">
        <v>62</v>
      </c>
      <c r="F2" s="6" t="s">
        <v>78</v>
      </c>
      <c r="G2">
        <v>5.6</v>
      </c>
      <c r="H2" s="6" t="s">
        <v>112</v>
      </c>
      <c r="I2">
        <f>1/2500*1.5</f>
        <v>6.0000000000000006E-4</v>
      </c>
    </row>
    <row r="3" spans="1:9">
      <c r="A3" s="6" t="s">
        <v>27</v>
      </c>
      <c r="B3" s="6" t="s">
        <v>29</v>
      </c>
      <c r="C3" s="6" t="s">
        <v>31</v>
      </c>
      <c r="D3" s="6" t="s">
        <v>42</v>
      </c>
      <c r="E3" s="24" t="s">
        <v>63</v>
      </c>
      <c r="F3" s="6" t="s">
        <v>79</v>
      </c>
      <c r="G3">
        <v>5.6</v>
      </c>
      <c r="H3" s="6" t="s">
        <v>111</v>
      </c>
      <c r="I3">
        <f>1/2500*1.5</f>
        <v>6.0000000000000006E-4</v>
      </c>
    </row>
    <row r="4" spans="1:9">
      <c r="A4" s="6" t="s">
        <v>32</v>
      </c>
      <c r="B4" s="6" t="s">
        <v>39</v>
      </c>
      <c r="C4" s="6"/>
      <c r="E4" s="25" t="s">
        <v>65</v>
      </c>
      <c r="F4" s="6" t="s">
        <v>80</v>
      </c>
      <c r="G4">
        <v>5.5</v>
      </c>
      <c r="H4" t="s">
        <v>114</v>
      </c>
      <c r="I4">
        <f>1/300*1.5</f>
        <v>5.0000000000000001E-3</v>
      </c>
    </row>
    <row r="5" spans="1:9">
      <c r="E5" s="25" t="s">
        <v>66</v>
      </c>
      <c r="F5" s="6" t="s">
        <v>81</v>
      </c>
      <c r="G5">
        <v>4.8</v>
      </c>
      <c r="H5" t="s">
        <v>113</v>
      </c>
      <c r="I5">
        <f>1/1250*1.5</f>
        <v>1.2000000000000001E-3</v>
      </c>
    </row>
    <row r="6" spans="1:9">
      <c r="E6" s="25" t="s">
        <v>67</v>
      </c>
      <c r="F6" s="6" t="s">
        <v>82</v>
      </c>
      <c r="G6">
        <v>4.5999999999999996</v>
      </c>
      <c r="H6" t="s">
        <v>115</v>
      </c>
      <c r="I6">
        <f>1/1400*1.5</f>
        <v>1.0714285714285715E-3</v>
      </c>
    </row>
    <row r="7" spans="1:9">
      <c r="E7" s="25" t="s">
        <v>68</v>
      </c>
      <c r="F7" s="6" t="s">
        <v>83</v>
      </c>
      <c r="G7">
        <v>4.3</v>
      </c>
      <c r="H7" t="s">
        <v>116</v>
      </c>
      <c r="I7">
        <f>1/400*1.5</f>
        <v>3.7499999999999999E-3</v>
      </c>
    </row>
    <row r="8" spans="1:9">
      <c r="E8" s="25" t="s">
        <v>69</v>
      </c>
      <c r="F8" s="6" t="s">
        <v>84</v>
      </c>
      <c r="G8">
        <v>4.2</v>
      </c>
    </row>
    <row r="9" spans="1:9">
      <c r="E9" s="25" t="s">
        <v>70</v>
      </c>
      <c r="F9" s="6" t="s">
        <v>85</v>
      </c>
      <c r="G9">
        <v>3.9</v>
      </c>
    </row>
    <row r="10" spans="1:9">
      <c r="F10" s="6" t="s">
        <v>86</v>
      </c>
      <c r="G10">
        <v>3.8</v>
      </c>
    </row>
    <row r="11" spans="1:9">
      <c r="F11" s="6" t="s">
        <v>87</v>
      </c>
      <c r="G11">
        <v>3.7</v>
      </c>
    </row>
    <row r="12" spans="1:9">
      <c r="F12" s="6" t="s">
        <v>88</v>
      </c>
      <c r="G12">
        <v>3.7</v>
      </c>
    </row>
    <row r="13" spans="1:9">
      <c r="F13" s="6" t="s">
        <v>89</v>
      </c>
      <c r="G13">
        <v>3.6</v>
      </c>
    </row>
    <row r="14" spans="1:9">
      <c r="F14" s="6" t="s">
        <v>90</v>
      </c>
      <c r="G14">
        <v>3.6</v>
      </c>
    </row>
    <row r="15" spans="1:9">
      <c r="F15" s="6" t="s">
        <v>91</v>
      </c>
      <c r="G15">
        <v>3.6</v>
      </c>
    </row>
    <row r="16" spans="1:9">
      <c r="F16" s="6" t="s">
        <v>92</v>
      </c>
      <c r="G16">
        <v>3.5</v>
      </c>
    </row>
    <row r="17" spans="6:7">
      <c r="F17" s="6" t="s">
        <v>93</v>
      </c>
      <c r="G17">
        <v>3.5</v>
      </c>
    </row>
    <row r="18" spans="6:7">
      <c r="F18" s="6" t="s">
        <v>94</v>
      </c>
      <c r="G18">
        <v>3.4</v>
      </c>
    </row>
    <row r="19" spans="6:7">
      <c r="F19" s="6" t="s">
        <v>95</v>
      </c>
      <c r="G19">
        <v>3</v>
      </c>
    </row>
    <row r="20" spans="6:7">
      <c r="F20" s="6" t="s">
        <v>96</v>
      </c>
      <c r="G20">
        <v>2.8</v>
      </c>
    </row>
    <row r="21" spans="6:7">
      <c r="F21" s="6" t="s">
        <v>97</v>
      </c>
      <c r="G21">
        <v>2.4</v>
      </c>
    </row>
    <row r="22" spans="6:7">
      <c r="F22" s="6" t="s">
        <v>98</v>
      </c>
      <c r="G22">
        <v>2.4</v>
      </c>
    </row>
    <row r="23" spans="6:7">
      <c r="F23" s="6" t="s">
        <v>99</v>
      </c>
      <c r="G23">
        <v>1</v>
      </c>
    </row>
    <row r="24" spans="6:7">
      <c r="F24" s="6" t="s">
        <v>100</v>
      </c>
      <c r="G24">
        <v>0.08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D3" sqref="D3:D10"/>
    </sheetView>
  </sheetViews>
  <sheetFormatPr defaultColWidth="8.77734375" defaultRowHeight="14.4"/>
  <cols>
    <col min="1" max="1" width="29.33203125" bestFit="1" customWidth="1"/>
    <col min="2" max="3" width="8.6640625" bestFit="1" customWidth="1"/>
    <col min="4" max="4" width="9" bestFit="1" customWidth="1"/>
    <col min="5" max="5" width="10.6640625" customWidth="1"/>
    <col min="6" max="6" width="9.33203125" customWidth="1"/>
    <col min="7" max="7" width="9.6640625" customWidth="1"/>
    <col min="8" max="8" width="12.44140625" customWidth="1"/>
    <col min="9" max="9" width="4" bestFit="1" customWidth="1"/>
    <col min="10" max="10" width="9.6640625" customWidth="1"/>
    <col min="12" max="12" width="13" customWidth="1"/>
  </cols>
  <sheetData>
    <row r="1" spans="1:15">
      <c r="A1" s="19" t="s">
        <v>47</v>
      </c>
    </row>
    <row r="2" spans="1:15" ht="57.6">
      <c r="A2" s="20" t="s">
        <v>48</v>
      </c>
      <c r="B2" s="21" t="s">
        <v>49</v>
      </c>
      <c r="C2" s="22" t="s">
        <v>50</v>
      </c>
      <c r="D2" s="22" t="s">
        <v>51</v>
      </c>
      <c r="E2" s="21" t="s">
        <v>52</v>
      </c>
      <c r="F2" s="21" t="s">
        <v>53</v>
      </c>
      <c r="G2" s="21" t="s">
        <v>54</v>
      </c>
      <c r="H2" s="21" t="s">
        <v>55</v>
      </c>
      <c r="I2" s="21" t="s">
        <v>56</v>
      </c>
      <c r="J2" s="21" t="s">
        <v>57</v>
      </c>
      <c r="K2" s="21" t="s">
        <v>58</v>
      </c>
      <c r="L2" s="21" t="s">
        <v>59</v>
      </c>
      <c r="M2" s="21" t="s">
        <v>56</v>
      </c>
      <c r="N2" s="21" t="s">
        <v>57</v>
      </c>
      <c r="O2" s="21" t="s">
        <v>60</v>
      </c>
    </row>
    <row r="3" spans="1:15">
      <c r="A3" s="38"/>
      <c r="B3" s="39">
        <v>0</v>
      </c>
      <c r="C3" s="39">
        <v>0</v>
      </c>
      <c r="D3" s="192">
        <f>IFERROR(SUM(C3:C10)/SUM(B3:B10),1)</f>
        <v>1</v>
      </c>
      <c r="E3" s="193">
        <f>IF(D3&lt;0.11,0.8,IF(D3&lt;0.21,0.7,IF(D3&lt;0.31,0.6,IF(D3&lt;0.41,0.45,IF(D3&lt;0.51,0.44,IF(D3&lt;0.61,0.37,IF(D3&lt;0.71,0.31,IF(D3&lt;0.81,0.27,IF(D3&lt;1.01,0.24)))))))))</f>
        <v>0.24</v>
      </c>
      <c r="F3" s="193">
        <f>IF(D3&lt;0.11,0.8,IF(D3&lt;0.21,0.7,IF(D3&lt;0.31,0.7,IF(D3&lt;0.41,0.6,IF(D3&lt;0.51,0.55,IF(D3&lt;0.61,0.5,IF(D3&lt;0.71,0.45,IF(D3&lt;0.81,0.4,IF(D3&lt;1.01,0.35)))))))))</f>
        <v>0.35</v>
      </c>
      <c r="G3" s="194">
        <v>0</v>
      </c>
      <c r="H3" s="194">
        <v>0</v>
      </c>
      <c r="I3" s="191">
        <f>IFERROR(G3/H3,0)</f>
        <v>0</v>
      </c>
      <c r="J3" s="184">
        <f>IF(I3&lt;0.01,1,IF(I3&lt;0.11,1.03,IF(I3&lt;0.51,1.06,IF(I3&lt;1.01,1.08))))</f>
        <v>1</v>
      </c>
      <c r="K3" s="194">
        <v>0</v>
      </c>
      <c r="L3" s="194">
        <v>0</v>
      </c>
      <c r="M3" s="191">
        <f>IFERROR(K3/L3,0)</f>
        <v>0</v>
      </c>
      <c r="N3" s="184">
        <f>IF(M3&lt;0.01,1,IF(K3/L3&lt;0.11,1.04,IF(K3/L3&lt;0.51,1.12,IF(K3/L3&lt;1.01,1.17))))</f>
        <v>1</v>
      </c>
      <c r="O3" s="184">
        <f>N3*J3*E3</f>
        <v>0.24</v>
      </c>
    </row>
    <row r="4" spans="1:15">
      <c r="A4" s="38"/>
      <c r="B4" s="39">
        <v>0</v>
      </c>
      <c r="C4" s="39">
        <v>0</v>
      </c>
      <c r="D4" s="192"/>
      <c r="E4" s="193"/>
      <c r="F4" s="193"/>
      <c r="G4" s="194"/>
      <c r="H4" s="194"/>
      <c r="I4" s="191"/>
      <c r="J4" s="184"/>
      <c r="K4" s="194"/>
      <c r="L4" s="194"/>
      <c r="M4" s="191"/>
      <c r="N4" s="184"/>
      <c r="O4" s="184"/>
    </row>
    <row r="5" spans="1:15">
      <c r="A5" s="38"/>
      <c r="B5" s="39">
        <v>0</v>
      </c>
      <c r="C5" s="39">
        <v>0</v>
      </c>
      <c r="D5" s="192"/>
      <c r="E5" s="193"/>
      <c r="F5" s="193"/>
      <c r="G5" s="194"/>
      <c r="H5" s="194"/>
      <c r="I5" s="191"/>
      <c r="J5" s="184"/>
      <c r="K5" s="194"/>
      <c r="L5" s="194"/>
      <c r="M5" s="191"/>
      <c r="N5" s="184"/>
      <c r="O5" s="184"/>
    </row>
    <row r="6" spans="1:15">
      <c r="A6" s="38"/>
      <c r="B6" s="39">
        <v>0</v>
      </c>
      <c r="C6" s="39">
        <v>0</v>
      </c>
      <c r="D6" s="192"/>
      <c r="E6" s="193"/>
      <c r="F6" s="193"/>
      <c r="G6" s="194"/>
      <c r="H6" s="194"/>
      <c r="I6" s="191"/>
      <c r="J6" s="184"/>
      <c r="K6" s="194"/>
      <c r="L6" s="194"/>
      <c r="M6" s="191"/>
      <c r="N6" s="184"/>
      <c r="O6" s="184"/>
    </row>
    <row r="7" spans="1:15">
      <c r="A7" s="38"/>
      <c r="B7" s="39">
        <v>0</v>
      </c>
      <c r="C7" s="39">
        <v>0</v>
      </c>
      <c r="D7" s="192"/>
      <c r="E7" s="193"/>
      <c r="F7" s="193"/>
      <c r="G7" s="194"/>
      <c r="H7" s="194"/>
      <c r="I7" s="191"/>
      <c r="J7" s="184"/>
      <c r="K7" s="194"/>
      <c r="L7" s="194"/>
      <c r="M7" s="191"/>
      <c r="N7" s="184"/>
      <c r="O7" s="184"/>
    </row>
    <row r="8" spans="1:15">
      <c r="A8" s="38"/>
      <c r="B8" s="39">
        <v>0</v>
      </c>
      <c r="C8" s="39">
        <v>0</v>
      </c>
      <c r="D8" s="192"/>
      <c r="E8" s="193"/>
      <c r="F8" s="193"/>
      <c r="G8" s="194"/>
      <c r="H8" s="194"/>
      <c r="I8" s="191"/>
      <c r="J8" s="184"/>
      <c r="K8" s="194"/>
      <c r="L8" s="194"/>
      <c r="M8" s="191"/>
      <c r="N8" s="184"/>
      <c r="O8" s="184"/>
    </row>
    <row r="9" spans="1:15">
      <c r="A9" s="38"/>
      <c r="B9" s="39">
        <v>0</v>
      </c>
      <c r="C9" s="39">
        <v>0</v>
      </c>
      <c r="D9" s="192"/>
      <c r="E9" s="193"/>
      <c r="F9" s="193"/>
      <c r="G9" s="194"/>
      <c r="H9" s="194"/>
      <c r="I9" s="191"/>
      <c r="J9" s="184"/>
      <c r="K9" s="194"/>
      <c r="L9" s="194"/>
      <c r="M9" s="191"/>
      <c r="N9" s="184"/>
      <c r="O9" s="184"/>
    </row>
    <row r="10" spans="1:15">
      <c r="A10" s="38"/>
      <c r="B10" s="39">
        <v>0</v>
      </c>
      <c r="C10" s="39">
        <v>0</v>
      </c>
      <c r="D10" s="192"/>
      <c r="E10" s="193"/>
      <c r="F10" s="193"/>
      <c r="G10" s="194"/>
      <c r="H10" s="194"/>
      <c r="I10" s="191"/>
      <c r="J10" s="184"/>
      <c r="K10" s="194"/>
      <c r="L10" s="194"/>
      <c r="M10" s="191"/>
      <c r="N10" s="184"/>
      <c r="O10" s="184"/>
    </row>
    <row r="11" spans="1:15">
      <c r="A11" s="19" t="s">
        <v>71</v>
      </c>
      <c r="B11" s="27">
        <f>SUM(B3:B10)</f>
        <v>0</v>
      </c>
      <c r="C11" s="27">
        <f>SUM(C3:C10)</f>
        <v>0</v>
      </c>
      <c r="D11" s="28"/>
      <c r="E11" s="29"/>
      <c r="F11" s="29"/>
      <c r="G11" s="29"/>
      <c r="H11" s="29"/>
      <c r="I11" s="26"/>
      <c r="J11" s="30"/>
      <c r="K11" s="29"/>
      <c r="L11" s="29"/>
      <c r="M11" s="26"/>
      <c r="N11" s="30"/>
      <c r="O11" s="30"/>
    </row>
    <row r="12" spans="1:15">
      <c r="A12" s="23" t="s">
        <v>61</v>
      </c>
    </row>
  </sheetData>
  <mergeCells count="12">
    <mergeCell ref="M3:M10"/>
    <mergeCell ref="N3:N10"/>
    <mergeCell ref="O3:O10"/>
    <mergeCell ref="D3:D10"/>
    <mergeCell ref="E3:E10"/>
    <mergeCell ref="F3:F10"/>
    <mergeCell ref="G3:G10"/>
    <mergeCell ref="H3:H10"/>
    <mergeCell ref="I3:I10"/>
    <mergeCell ref="J3:J10"/>
    <mergeCell ref="K3:K10"/>
    <mergeCell ref="L3:L10"/>
  </mergeCells>
  <dataValidations count="1">
    <dataValidation type="list" allowBlank="1" showInputMessage="1" showErrorMessage="1" sqref="A3:A10">
      <formula1>Elevation</formula1>
    </dataValidation>
  </dataValidations>
  <hyperlinks>
    <hyperlink ref="A12" location="Architectural!A1" display="Return to Architectural GB Checklist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4" sqref="A4"/>
    </sheetView>
  </sheetViews>
  <sheetFormatPr defaultColWidth="8.77734375" defaultRowHeight="14.4"/>
  <cols>
    <col min="1" max="1" width="34.109375" bestFit="1" customWidth="1"/>
    <col min="2" max="2" width="13" bestFit="1" customWidth="1"/>
    <col min="3" max="4" width="18.44140625" bestFit="1" customWidth="1"/>
  </cols>
  <sheetData>
    <row r="1" spans="1:4">
      <c r="A1" s="19" t="s">
        <v>72</v>
      </c>
      <c r="B1" s="19"/>
    </row>
    <row r="2" spans="1:4">
      <c r="A2" s="36" t="s">
        <v>73</v>
      </c>
      <c r="B2" s="36" t="s">
        <v>103</v>
      </c>
      <c r="C2" s="36" t="s">
        <v>74</v>
      </c>
      <c r="D2" s="36" t="s">
        <v>75</v>
      </c>
    </row>
    <row r="3" spans="1:4">
      <c r="A3" s="33" t="s">
        <v>101</v>
      </c>
      <c r="B3" s="33" t="s">
        <v>102</v>
      </c>
      <c r="C3" s="33" t="s">
        <v>102</v>
      </c>
      <c r="D3" s="33">
        <v>0.25</v>
      </c>
    </row>
    <row r="4" spans="1:4">
      <c r="A4" s="38"/>
      <c r="B4" s="39">
        <v>0</v>
      </c>
      <c r="C4" s="32">
        <f>IFERROR(VLOOKUP(A4,Sheet1!F2:G24,2,FALSE),0)</f>
        <v>0</v>
      </c>
      <c r="D4" s="32">
        <f>C4/25.44*B4</f>
        <v>0</v>
      </c>
    </row>
    <row r="5" spans="1:4">
      <c r="A5" s="38"/>
      <c r="B5" s="39">
        <v>0</v>
      </c>
      <c r="C5" s="32">
        <f>IFERROR(VLOOKUP(A5,Sheet1!F3:G25,2,FALSE),0)</f>
        <v>0</v>
      </c>
      <c r="D5" s="32">
        <f t="shared" ref="D5:D8" si="0">C5/25.44*B5</f>
        <v>0</v>
      </c>
    </row>
    <row r="6" spans="1:4">
      <c r="A6" s="38"/>
      <c r="B6" s="39">
        <v>0</v>
      </c>
      <c r="C6" s="32">
        <f>IFERROR(VLOOKUP(A6,Sheet1!F4:G26,2,FALSE),0)</f>
        <v>0</v>
      </c>
      <c r="D6" s="32">
        <f t="shared" si="0"/>
        <v>0</v>
      </c>
    </row>
    <row r="7" spans="1:4">
      <c r="A7" s="38"/>
      <c r="B7" s="39">
        <v>0</v>
      </c>
      <c r="C7" s="32">
        <f>IFERROR(VLOOKUP(A7,Sheet1!F5:G27,2,FALSE),0)</f>
        <v>0</v>
      </c>
      <c r="D7" s="32">
        <f t="shared" si="0"/>
        <v>0</v>
      </c>
    </row>
    <row r="8" spans="1:4">
      <c r="A8" s="38"/>
      <c r="B8" s="39">
        <v>0</v>
      </c>
      <c r="C8" s="32">
        <f>IFERROR(VLOOKUP(A8,Sheet1!F6:G28,2,FALSE),0)</f>
        <v>0</v>
      </c>
      <c r="D8" s="32">
        <f t="shared" si="0"/>
        <v>0</v>
      </c>
    </row>
    <row r="9" spans="1:4">
      <c r="A9" s="33" t="s">
        <v>104</v>
      </c>
      <c r="B9" s="33" t="s">
        <v>102</v>
      </c>
      <c r="C9" s="33" t="s">
        <v>102</v>
      </c>
      <c r="D9" s="33">
        <v>0.92</v>
      </c>
    </row>
    <row r="10" spans="1:4">
      <c r="A10" s="19" t="s">
        <v>71</v>
      </c>
      <c r="D10">
        <f>SUM(D3:D9)</f>
        <v>1.17</v>
      </c>
    </row>
    <row r="11" spans="1:4">
      <c r="A11" s="23" t="s">
        <v>61</v>
      </c>
    </row>
  </sheetData>
  <dataValidations count="1">
    <dataValidation type="list" allowBlank="1" showInputMessage="1" showErrorMessage="1" sqref="A4:A8">
      <formula1>Insulation</formula1>
    </dataValidation>
  </dataValidations>
  <hyperlinks>
    <hyperlink ref="A11" location="Architectural!A1" display="Return to Architectural GB Checklist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12" sqref="F12"/>
    </sheetView>
  </sheetViews>
  <sheetFormatPr defaultColWidth="8.77734375" defaultRowHeight="14.4"/>
  <cols>
    <col min="1" max="1" width="29.33203125" bestFit="1" customWidth="1"/>
    <col min="2" max="2" width="16" bestFit="1" customWidth="1"/>
    <col min="3" max="3" width="31.109375" customWidth="1"/>
    <col min="4" max="4" width="20.44140625" customWidth="1"/>
  </cols>
  <sheetData>
    <row r="1" spans="1:4">
      <c r="A1" s="19" t="s">
        <v>105</v>
      </c>
    </row>
    <row r="2" spans="1:4" s="31" customFormat="1" ht="43.2">
      <c r="A2" s="20" t="s">
        <v>106</v>
      </c>
      <c r="B2" s="22" t="s">
        <v>107</v>
      </c>
      <c r="C2" s="22" t="s">
        <v>108</v>
      </c>
      <c r="D2" s="22" t="s">
        <v>109</v>
      </c>
    </row>
    <row r="3" spans="1:4">
      <c r="A3" s="38" t="s">
        <v>112</v>
      </c>
      <c r="B3" s="39">
        <v>10000</v>
      </c>
      <c r="C3" s="32">
        <f>B3*IFERROR(VLOOKUP(A3,Sheet1!H2:I7,2,FALSE),0)</f>
        <v>6.0000000000000009</v>
      </c>
      <c r="D3" s="39">
        <v>0</v>
      </c>
    </row>
    <row r="4" spans="1:4">
      <c r="A4" s="23" t="s">
        <v>61</v>
      </c>
      <c r="D4" s="37" t="str">
        <f>IF(D3=0,"Not Complied",IF(D3&lt;C3,"Not Complied",IF(D3=C3,"Complied",IF(D3&gt;C3,"Complied"))))</f>
        <v>Not Complied</v>
      </c>
    </row>
  </sheetData>
  <dataValidations count="1">
    <dataValidation type="list" allowBlank="1" showInputMessage="1" showErrorMessage="1" sqref="A3">
      <formula1>Use_Occupancy</formula1>
    </dataValidation>
  </dataValidations>
  <hyperlinks>
    <hyperlink ref="A4" location="Architectural!A1" display="Return to Architectural GB Checklist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5"/>
  <sheetViews>
    <sheetView zoomScaleNormal="140" zoomScalePageLayoutView="140" workbookViewId="0">
      <selection activeCell="G45" sqref="G45"/>
    </sheetView>
  </sheetViews>
  <sheetFormatPr defaultColWidth="8.77734375" defaultRowHeight="14.4"/>
  <cols>
    <col min="2" max="2" width="27.44140625" customWidth="1"/>
    <col min="4" max="4" width="17.6640625" customWidth="1"/>
    <col min="5" max="9" width="10.6640625" customWidth="1"/>
    <col min="10" max="10" width="10.6640625" style="41" customWidth="1"/>
    <col min="11" max="14" width="10.6640625" customWidth="1"/>
  </cols>
  <sheetData>
    <row r="1" spans="2:23">
      <c r="C1" t="s">
        <v>128</v>
      </c>
      <c r="D1" t="s">
        <v>129</v>
      </c>
    </row>
    <row r="2" spans="2:23">
      <c r="C2" t="s">
        <v>130</v>
      </c>
      <c r="D2" t="s">
        <v>131</v>
      </c>
    </row>
    <row r="5" spans="2:23" ht="21">
      <c r="B5" s="42" t="s">
        <v>132</v>
      </c>
    </row>
    <row r="7" spans="2:23" ht="18">
      <c r="B7" s="43" t="s">
        <v>133</v>
      </c>
    </row>
    <row r="9" spans="2:23" ht="43.2">
      <c r="B9" s="44" t="s">
        <v>134</v>
      </c>
      <c r="C9" s="44"/>
      <c r="D9" s="44" t="s">
        <v>135</v>
      </c>
      <c r="E9" s="45" t="s">
        <v>136</v>
      </c>
      <c r="F9" s="45" t="s">
        <v>137</v>
      </c>
      <c r="G9" s="45" t="s">
        <v>138</v>
      </c>
      <c r="H9" s="45" t="s">
        <v>139</v>
      </c>
      <c r="I9" s="45" t="s">
        <v>140</v>
      </c>
      <c r="J9" s="46" t="s">
        <v>141</v>
      </c>
      <c r="K9" s="211" t="s">
        <v>142</v>
      </c>
      <c r="L9" s="211"/>
      <c r="M9" s="45" t="s">
        <v>143</v>
      </c>
      <c r="N9" s="45" t="s">
        <v>144</v>
      </c>
      <c r="W9">
        <v>2</v>
      </c>
    </row>
    <row r="10" spans="2:23" ht="4.95" customHeight="1"/>
    <row r="11" spans="2:23">
      <c r="B11" s="207" t="s">
        <v>115</v>
      </c>
      <c r="C11" s="47" t="s">
        <v>145</v>
      </c>
      <c r="D11" s="48" t="s">
        <v>146</v>
      </c>
      <c r="E11" s="49">
        <f>24.5*15-E12</f>
        <v>297.5</v>
      </c>
      <c r="F11" s="205">
        <f>IFERROR(E12/(E11+E12),0)</f>
        <v>0.19047619047619047</v>
      </c>
      <c r="G11" s="50">
        <f>VLOOKUP(D11,Lists!$B$4:$C$8,2,FALSE)</f>
        <v>2.7170636116973168</v>
      </c>
      <c r="H11" s="51">
        <f>VLOOKUP(D11,Lists!$B$4:$E$8,4,FALSE)</f>
        <v>10</v>
      </c>
      <c r="I11" s="195">
        <f>VLOOKUP(D12,'Windows &amp; Shading'!$C$7:$E$11,3,FALSE)</f>
        <v>0.83</v>
      </c>
      <c r="J11" s="52" t="s">
        <v>147</v>
      </c>
      <c r="K11" s="47" t="s">
        <v>148</v>
      </c>
      <c r="L11" s="53">
        <v>90</v>
      </c>
      <c r="M11" s="195">
        <f>INDEX(Lists!$C$13:$J$17,MATCH('OTTV Method'!L11,Lists!$B$13:$B$17,0),MATCH('OTTV Method'!L12,Lists!$C$12:$J$12,0))</f>
        <v>0.74</v>
      </c>
      <c r="N11" s="197">
        <f>IF(B11="",0,(E11*G11*H11+E12*G12*H12+E12*I11*J12*M11*130)/(E11+E12))</f>
        <v>38.572090761359227</v>
      </c>
    </row>
    <row r="12" spans="2:23">
      <c r="B12" s="208"/>
      <c r="C12" s="47" t="s">
        <v>149</v>
      </c>
      <c r="D12" s="48" t="s">
        <v>150</v>
      </c>
      <c r="E12" s="49">
        <f>5*7*2</f>
        <v>70</v>
      </c>
      <c r="F12" s="206"/>
      <c r="G12" s="50">
        <f>VLOOKUP(D12,'Windows &amp; Shading'!$C$7:$E$11,2,FALSE)</f>
        <v>5.82</v>
      </c>
      <c r="H12" s="51">
        <v>5</v>
      </c>
      <c r="I12" s="196"/>
      <c r="J12" s="54">
        <f>VLOOKUP(J11,'Windows &amp; Shading'!$C$20:$G$24,5,FALSE)</f>
        <v>0.72550000000000003</v>
      </c>
      <c r="K12" s="47" t="s">
        <v>151</v>
      </c>
      <c r="L12" s="53" t="s">
        <v>152</v>
      </c>
      <c r="M12" s="196"/>
      <c r="N12" s="198"/>
    </row>
    <row r="13" spans="2:23" ht="4.95" customHeight="1">
      <c r="B13" s="19"/>
      <c r="D13" s="19"/>
      <c r="E13" s="55"/>
      <c r="F13" s="55"/>
      <c r="H13" s="56"/>
      <c r="I13" s="41"/>
      <c r="L13" s="56"/>
      <c r="M13" s="41"/>
      <c r="N13" s="57"/>
    </row>
    <row r="14" spans="2:23">
      <c r="B14" s="207" t="s">
        <v>153</v>
      </c>
      <c r="C14" s="47" t="s">
        <v>145</v>
      </c>
      <c r="D14" s="48" t="s">
        <v>146</v>
      </c>
      <c r="E14" s="49">
        <f>3.5*15-E15</f>
        <v>13.5</v>
      </c>
      <c r="F14" s="205">
        <f>IFERROR(E15/(E14+E15),0)</f>
        <v>0.74285714285714288</v>
      </c>
      <c r="G14" s="50">
        <f>VLOOKUP(D14,Lists!$B$4:$C$8,2,FALSE)</f>
        <v>2.7170636116973168</v>
      </c>
      <c r="H14" s="51">
        <f>VLOOKUP(D14,Lists!$B$4:$E$8,4,FALSE)</f>
        <v>10</v>
      </c>
      <c r="I14" s="209">
        <f>VLOOKUP(D15,'Windows &amp; Shading'!$C$7:$E$11,3,FALSE)</f>
        <v>0.83</v>
      </c>
      <c r="J14" s="52" t="s">
        <v>154</v>
      </c>
      <c r="K14" s="47" t="s">
        <v>148</v>
      </c>
      <c r="L14" s="53">
        <v>90</v>
      </c>
      <c r="M14" s="209">
        <f>INDEX(Lists!$C$13:$J$17,MATCH('OTTV Method'!L14,Lists!$B$13:$B$17,0),MATCH('OTTV Method'!L15,Lists!$C$12:$J$12,0))</f>
        <v>0.74</v>
      </c>
      <c r="N14" s="210">
        <f>IF(B14="",0,(E14*G14*H14+E15*G15*H15+E15*I14*J15*M14*130)/(E14+E15))</f>
        <v>87.918049287221663</v>
      </c>
    </row>
    <row r="15" spans="2:23">
      <c r="B15" s="208"/>
      <c r="C15" s="47" t="s">
        <v>149</v>
      </c>
      <c r="D15" s="48" t="s">
        <v>150</v>
      </c>
      <c r="E15" s="49">
        <f>13*3</f>
        <v>39</v>
      </c>
      <c r="F15" s="206"/>
      <c r="G15" s="50">
        <f>VLOOKUP(D15,'Windows &amp; Shading'!$C$7:$E$11,2,FALSE)</f>
        <v>5.82</v>
      </c>
      <c r="H15" s="51">
        <v>5</v>
      </c>
      <c r="I15" s="209"/>
      <c r="J15" s="54">
        <f>VLOOKUP(J14,'Windows &amp; Shading'!$C$20:$G$24,5,FALSE)</f>
        <v>1</v>
      </c>
      <c r="K15" s="47" t="s">
        <v>151</v>
      </c>
      <c r="L15" s="53" t="s">
        <v>152</v>
      </c>
      <c r="M15" s="209"/>
      <c r="N15" s="210"/>
    </row>
    <row r="16" spans="2:23" ht="4.95" customHeight="1">
      <c r="B16" s="19"/>
      <c r="D16" s="19"/>
      <c r="E16" s="55"/>
      <c r="F16" s="55"/>
      <c r="H16" s="56"/>
      <c r="I16" s="41"/>
      <c r="L16" s="56"/>
      <c r="M16" s="41"/>
      <c r="N16" s="57"/>
    </row>
    <row r="17" spans="2:14">
      <c r="B17" s="207"/>
      <c r="C17" s="47" t="s">
        <v>145</v>
      </c>
      <c r="D17" s="48" t="s">
        <v>102</v>
      </c>
      <c r="E17" s="49">
        <v>0</v>
      </c>
      <c r="F17" s="205">
        <f>IFERROR(E18/(E17+E18),0)</f>
        <v>0</v>
      </c>
      <c r="G17" s="50">
        <f>VLOOKUP(D17,Lists!$B$4:$C$8,2,FALSE)</f>
        <v>5.8823529411764701</v>
      </c>
      <c r="H17" s="51">
        <f>VLOOKUP(D17,Lists!$B$4:$E$8,4,FALSE)</f>
        <v>15</v>
      </c>
      <c r="I17" s="195">
        <f>VLOOKUP(D18,'Windows &amp; Shading'!$C$7:$E$11,3,FALSE)</f>
        <v>0</v>
      </c>
      <c r="J17" s="52" t="s">
        <v>154</v>
      </c>
      <c r="K17" s="47" t="s">
        <v>148</v>
      </c>
      <c r="L17" s="53">
        <v>90</v>
      </c>
      <c r="M17" s="195">
        <f>INDEX(Lists!$C$13:$J$17,MATCH('OTTV Method'!L17,Lists!$B$13:$B$17,0),MATCH('OTTV Method'!L18,Lists!$C$12:$J$12,0))</f>
        <v>1.25</v>
      </c>
      <c r="N17" s="197">
        <f>IF(B17="",0,(E17*G17*H17+E18*G18*H18+E18*I17*J18*M17*130)/(E17+E18))</f>
        <v>0</v>
      </c>
    </row>
    <row r="18" spans="2:14">
      <c r="B18" s="208"/>
      <c r="C18" s="47" t="s">
        <v>149</v>
      </c>
      <c r="D18" s="48" t="s">
        <v>155</v>
      </c>
      <c r="E18" s="49">
        <v>0</v>
      </c>
      <c r="F18" s="206"/>
      <c r="G18" s="50">
        <f>VLOOKUP(D18,'Windows &amp; Shading'!$C$7:$E$11,2,FALSE)</f>
        <v>0</v>
      </c>
      <c r="H18" s="51">
        <v>5</v>
      </c>
      <c r="I18" s="196"/>
      <c r="J18" s="54">
        <f>VLOOKUP(J17,'Windows &amp; Shading'!$C$20:$G$24,5,FALSE)</f>
        <v>1</v>
      </c>
      <c r="K18" s="47" t="s">
        <v>151</v>
      </c>
      <c r="L18" s="53" t="s">
        <v>156</v>
      </c>
      <c r="M18" s="196"/>
      <c r="N18" s="198"/>
    </row>
    <row r="19" spans="2:14" ht="4.95" customHeight="1">
      <c r="B19" s="19"/>
      <c r="D19" s="19"/>
      <c r="E19" s="55"/>
      <c r="F19" s="55"/>
      <c r="H19" s="56"/>
      <c r="I19" s="41"/>
      <c r="L19" s="56"/>
      <c r="M19" s="41"/>
      <c r="N19" s="57"/>
    </row>
    <row r="20" spans="2:14">
      <c r="B20" s="203"/>
      <c r="C20" s="47" t="s">
        <v>145</v>
      </c>
      <c r="D20" s="48" t="s">
        <v>102</v>
      </c>
      <c r="E20" s="49">
        <v>0</v>
      </c>
      <c r="F20" s="205">
        <f>IFERROR(E21/(E20+E21),0)</f>
        <v>0</v>
      </c>
      <c r="G20" s="50">
        <f>VLOOKUP(D20,Lists!$B$4:$C$8,2,FALSE)</f>
        <v>5.8823529411764701</v>
      </c>
      <c r="H20" s="51">
        <f>VLOOKUP(D20,Lists!$B$4:$E$8,4,FALSE)</f>
        <v>15</v>
      </c>
      <c r="I20" s="209">
        <f>VLOOKUP(D21,'Windows &amp; Shading'!$C$7:$E$11,3,FALSE)</f>
        <v>0</v>
      </c>
      <c r="J20" s="52" t="s">
        <v>154</v>
      </c>
      <c r="K20" s="47" t="s">
        <v>157</v>
      </c>
      <c r="L20" s="53">
        <v>90</v>
      </c>
      <c r="M20" s="209">
        <f>INDEX(Lists!$C$13:$J$17,MATCH('OTTV Method'!L20,Lists!$B$13:$B$17,0),MATCH('OTTV Method'!L21,Lists!$C$12:$J$12,0))</f>
        <v>1.25</v>
      </c>
      <c r="N20" s="210">
        <f>IF(B20="",0,(E20*G20*H20+E21*G21*H21+E21*I20*J21*M20*130)/(E20+E21))</f>
        <v>0</v>
      </c>
    </row>
    <row r="21" spans="2:14">
      <c r="B21" s="204"/>
      <c r="C21" s="47" t="s">
        <v>149</v>
      </c>
      <c r="D21" s="48" t="s">
        <v>155</v>
      </c>
      <c r="E21" s="49">
        <v>0</v>
      </c>
      <c r="F21" s="206"/>
      <c r="G21" s="50">
        <f>VLOOKUP(D21,'Windows &amp; Shading'!$C$7:$E$11,2,FALSE)</f>
        <v>0</v>
      </c>
      <c r="H21" s="51">
        <v>5</v>
      </c>
      <c r="I21" s="209"/>
      <c r="J21" s="54">
        <f>VLOOKUP(J20,'Windows &amp; Shading'!$C$20:$G$24,5,FALSE)</f>
        <v>1</v>
      </c>
      <c r="K21" s="47" t="s">
        <v>151</v>
      </c>
      <c r="L21" s="53" t="s">
        <v>156</v>
      </c>
      <c r="M21" s="209"/>
      <c r="N21" s="210"/>
    </row>
    <row r="22" spans="2:14" ht="15" thickBot="1">
      <c r="N22" s="57"/>
    </row>
    <row r="23" spans="2:14" ht="15.75" customHeight="1" thickTop="1">
      <c r="K23" s="199" t="str">
        <f>IF(N23&lt;=45,"Passed!", "Failed!")</f>
        <v>Passed!</v>
      </c>
      <c r="M23" s="201" t="s">
        <v>158</v>
      </c>
      <c r="N23" s="199">
        <f>(IF(B11="",0,(E11+E12)*N11)+IF(B14="",0,(E14+E15)*N14)+IF(B17="",0,(E17+E18)*N17)+IF(B20="",0,(E20+E21)*N20))/(IF(B11="",0,E11+E12)+IF(B14="",0,E14+E15)+IF(B17="",0,E17+E18)+IF(B20="",0,E20+E21))</f>
        <v>44.74033557709204</v>
      </c>
    </row>
    <row r="24" spans="2:14" ht="15" thickBot="1">
      <c r="K24" s="200"/>
      <c r="M24" s="202"/>
      <c r="N24" s="200"/>
    </row>
    <row r="25" spans="2:14" ht="15" thickTop="1"/>
    <row r="27" spans="2:14" ht="18">
      <c r="B27" s="43" t="s">
        <v>159</v>
      </c>
    </row>
    <row r="29" spans="2:14" ht="43.2">
      <c r="B29" s="44" t="s">
        <v>160</v>
      </c>
      <c r="C29" s="44"/>
      <c r="D29" s="44" t="s">
        <v>135</v>
      </c>
      <c r="E29" s="45" t="s">
        <v>136</v>
      </c>
      <c r="F29" s="45" t="s">
        <v>137</v>
      </c>
      <c r="G29" s="45" t="s">
        <v>138</v>
      </c>
      <c r="H29" s="45" t="s">
        <v>139</v>
      </c>
      <c r="I29" s="45" t="s">
        <v>140</v>
      </c>
      <c r="J29" s="58"/>
      <c r="K29" s="211" t="s">
        <v>142</v>
      </c>
      <c r="L29" s="211"/>
      <c r="M29" s="45" t="s">
        <v>143</v>
      </c>
      <c r="N29" s="45" t="s">
        <v>144</v>
      </c>
    </row>
    <row r="30" spans="2:14">
      <c r="J30" s="59"/>
    </row>
    <row r="31" spans="2:14">
      <c r="B31" s="203" t="s">
        <v>161</v>
      </c>
      <c r="C31" s="47" t="s">
        <v>162</v>
      </c>
      <c r="D31" s="48" t="s">
        <v>163</v>
      </c>
      <c r="E31" s="49">
        <v>225</v>
      </c>
      <c r="F31" s="205">
        <f>IFERROR(E32/(E31+E32),0)</f>
        <v>0</v>
      </c>
      <c r="G31" s="50">
        <f>VLOOKUP(D31,Lists!$B$28:$C$32,2,FALSE)</f>
        <v>0.56076830702414804</v>
      </c>
      <c r="H31" s="51">
        <f>VLOOKUP(D31,Lists!$B$28:$E$32,4,FALSE)</f>
        <v>16</v>
      </c>
      <c r="I31" s="195">
        <f>VLOOKUP(D32,'Windows &amp; Shading'!$C$7:$E$11,3,FALSE)</f>
        <v>0</v>
      </c>
      <c r="J31" s="58"/>
      <c r="K31" s="47" t="s">
        <v>148</v>
      </c>
      <c r="L31" s="53">
        <v>0</v>
      </c>
      <c r="M31" s="195">
        <f>INDEX(Lists!$C$37:$J$50,MATCH('OTTV Method'!L31,Lists!$B$37:$B$50,0),MATCH('OTTV Method'!L32,Lists!$C$36:$J$36,0))</f>
        <v>1</v>
      </c>
      <c r="N31" s="197">
        <f>IFERROR((E31*G31*H31+E32*G32*H32+E32*I31*M31*320)/(E31+E32),0)</f>
        <v>8.9722929123863686</v>
      </c>
    </row>
    <row r="32" spans="2:14">
      <c r="B32" s="204"/>
      <c r="C32" s="47" t="s">
        <v>164</v>
      </c>
      <c r="D32" s="48" t="s">
        <v>155</v>
      </c>
      <c r="E32" s="49">
        <v>0</v>
      </c>
      <c r="F32" s="206"/>
      <c r="G32" s="50">
        <f>VLOOKUP(D32,'Windows &amp; Shading'!$C$7:$E$11,2,FALSE)</f>
        <v>0</v>
      </c>
      <c r="H32" s="51">
        <v>5</v>
      </c>
      <c r="I32" s="196"/>
      <c r="J32" s="58"/>
      <c r="K32" s="47" t="s">
        <v>151</v>
      </c>
      <c r="L32" s="53" t="s">
        <v>152</v>
      </c>
      <c r="M32" s="196"/>
      <c r="N32" s="198"/>
    </row>
    <row r="33" spans="2:14">
      <c r="B33" s="19"/>
      <c r="D33" s="19"/>
      <c r="E33" s="55"/>
      <c r="F33" s="55"/>
      <c r="H33" s="56"/>
      <c r="I33" s="41"/>
      <c r="J33" s="59"/>
      <c r="L33" s="56"/>
      <c r="M33" s="41"/>
      <c r="N33" s="57"/>
    </row>
    <row r="34" spans="2:14">
      <c r="B34" s="203"/>
      <c r="C34" s="47" t="s">
        <v>162</v>
      </c>
      <c r="D34" s="48" t="s">
        <v>102</v>
      </c>
      <c r="E34" s="49">
        <v>0</v>
      </c>
      <c r="F34" s="205">
        <f>IFERROR(E35/(E34+E35),0)</f>
        <v>0</v>
      </c>
      <c r="G34" s="50">
        <f>VLOOKUP(D34,Lists!$B$28:$C$32,2,FALSE)</f>
        <v>0</v>
      </c>
      <c r="H34" s="51">
        <f>VLOOKUP(D34,Lists!$B$28:$E$32,4,FALSE)</f>
        <v>24</v>
      </c>
      <c r="I34" s="195">
        <f>VLOOKUP(D35,'Windows &amp; Shading'!$C$7:$E$11,3,FALSE)</f>
        <v>0</v>
      </c>
      <c r="J34" s="58"/>
      <c r="K34" s="47" t="s">
        <v>148</v>
      </c>
      <c r="L34" s="53">
        <v>0</v>
      </c>
      <c r="M34" s="195">
        <f>INDEX(Lists!$C$37:$J$50,MATCH('OTTV Method'!L34,Lists!$B$37:$B$50,0),MATCH('OTTV Method'!L35,Lists!$C$36:$J$36,0))</f>
        <v>1</v>
      </c>
      <c r="N34" s="197">
        <f>IFERROR((E34*G34*H34+E35*G35*H35+E35*I34*M34*320)/(E34+E35),0)</f>
        <v>0</v>
      </c>
    </row>
    <row r="35" spans="2:14">
      <c r="B35" s="204"/>
      <c r="C35" s="47" t="s">
        <v>164</v>
      </c>
      <c r="D35" s="48" t="s">
        <v>155</v>
      </c>
      <c r="E35" s="49">
        <v>0</v>
      </c>
      <c r="F35" s="206"/>
      <c r="G35" s="50">
        <f>VLOOKUP(D35,'Windows &amp; Shading'!$C$7:$E$11,2,FALSE)</f>
        <v>0</v>
      </c>
      <c r="H35" s="51">
        <v>5</v>
      </c>
      <c r="I35" s="196"/>
      <c r="J35" s="58"/>
      <c r="K35" s="47" t="s">
        <v>151</v>
      </c>
      <c r="L35" s="53" t="s">
        <v>152</v>
      </c>
      <c r="M35" s="196"/>
      <c r="N35" s="198"/>
    </row>
    <row r="36" spans="2:14">
      <c r="B36" s="19"/>
      <c r="D36" s="19"/>
      <c r="E36" s="55"/>
      <c r="F36" s="55"/>
      <c r="H36" s="56"/>
      <c r="I36" s="41"/>
      <c r="J36" s="59"/>
      <c r="L36" s="56"/>
      <c r="M36" s="41"/>
      <c r="N36" s="57"/>
    </row>
    <row r="37" spans="2:14">
      <c r="B37" s="207"/>
      <c r="C37" s="47" t="s">
        <v>162</v>
      </c>
      <c r="D37" s="48" t="s">
        <v>102</v>
      </c>
      <c r="E37" s="49">
        <v>0</v>
      </c>
      <c r="F37" s="205">
        <f>IFERROR(E38/(E37+E38),0)</f>
        <v>0</v>
      </c>
      <c r="G37" s="50">
        <f>VLOOKUP(D37,Lists!$B$28:$C$32,2,FALSE)</f>
        <v>0</v>
      </c>
      <c r="H37" s="51">
        <f>VLOOKUP(D37,Lists!$B$28:$E$32,4,FALSE)</f>
        <v>24</v>
      </c>
      <c r="I37" s="195">
        <f>VLOOKUP(D38,'Windows &amp; Shading'!$C$7:$E$11,3,FALSE)</f>
        <v>0</v>
      </c>
      <c r="J37" s="58"/>
      <c r="K37" s="47" t="s">
        <v>148</v>
      </c>
      <c r="L37" s="53">
        <v>0</v>
      </c>
      <c r="M37" s="195">
        <f>INDEX(Lists!$C$37:$J$50,MATCH('OTTV Method'!L37,Lists!$B$37:$B$50,0),MATCH('OTTV Method'!L38,Lists!$C$36:$J$36,0))</f>
        <v>1</v>
      </c>
      <c r="N37" s="197">
        <f>IFERROR((E37*G37*H37+E38*G38*H38+E38*I37*M37*320)/(E37+E38),0)</f>
        <v>0</v>
      </c>
    </row>
    <row r="38" spans="2:14">
      <c r="B38" s="208"/>
      <c r="C38" s="47" t="s">
        <v>164</v>
      </c>
      <c r="D38" s="48" t="s">
        <v>155</v>
      </c>
      <c r="E38" s="49">
        <v>0</v>
      </c>
      <c r="F38" s="206"/>
      <c r="G38" s="50">
        <f>VLOOKUP(D38,'Windows &amp; Shading'!$C$7:$E$11,2,FALSE)</f>
        <v>0</v>
      </c>
      <c r="H38" s="51">
        <v>5</v>
      </c>
      <c r="I38" s="196"/>
      <c r="J38" s="58"/>
      <c r="K38" s="47" t="s">
        <v>151</v>
      </c>
      <c r="L38" s="53" t="s">
        <v>152</v>
      </c>
      <c r="M38" s="196"/>
      <c r="N38" s="198"/>
    </row>
    <row r="39" spans="2:14">
      <c r="B39" s="19"/>
      <c r="D39" s="19"/>
      <c r="E39" s="55"/>
      <c r="F39" s="55"/>
      <c r="H39" s="56"/>
      <c r="I39" s="41"/>
      <c r="J39" s="59"/>
      <c r="L39" s="56"/>
      <c r="M39" s="41"/>
      <c r="N39" s="57"/>
    </row>
    <row r="40" spans="2:14">
      <c r="B40" s="207"/>
      <c r="C40" s="47" t="s">
        <v>162</v>
      </c>
      <c r="D40" s="48" t="s">
        <v>102</v>
      </c>
      <c r="E40" s="49">
        <v>0</v>
      </c>
      <c r="F40" s="205">
        <f>IFERROR(E41/(E40+E41),0)</f>
        <v>0</v>
      </c>
      <c r="G40" s="50">
        <f>VLOOKUP(D40,Lists!$B$28:$C$32,2,FALSE)</f>
        <v>0</v>
      </c>
      <c r="H40" s="51">
        <f>VLOOKUP(D40,Lists!$B$28:$E$32,4,FALSE)</f>
        <v>24</v>
      </c>
      <c r="I40" s="195">
        <f>VLOOKUP(D41,'Windows &amp; Shading'!$C$7:$E$11,3,FALSE)</f>
        <v>0</v>
      </c>
      <c r="J40" s="58"/>
      <c r="K40" s="47" t="s">
        <v>148</v>
      </c>
      <c r="L40" s="53">
        <v>0</v>
      </c>
      <c r="M40" s="195">
        <f>INDEX(Lists!$C$37:$J$50,MATCH('OTTV Method'!L40,Lists!$B$37:$B$50,0),MATCH('OTTV Method'!L41,Lists!$C$36:$J$36,0))</f>
        <v>1</v>
      </c>
      <c r="N40" s="197">
        <f>IFERROR((E40*G40*H40+E41*G41*H41+E41*I40*M40*320)/(E40+E41),0)</f>
        <v>0</v>
      </c>
    </row>
    <row r="41" spans="2:14">
      <c r="B41" s="208"/>
      <c r="C41" s="47" t="s">
        <v>164</v>
      </c>
      <c r="D41" s="48" t="s">
        <v>155</v>
      </c>
      <c r="E41" s="49">
        <v>0</v>
      </c>
      <c r="F41" s="206"/>
      <c r="G41" s="50">
        <f>VLOOKUP(D41,'Windows &amp; Shading'!$C$7:$E$11,2,FALSE)</f>
        <v>0</v>
      </c>
      <c r="H41" s="51">
        <v>5</v>
      </c>
      <c r="I41" s="196"/>
      <c r="J41" s="58"/>
      <c r="K41" s="47" t="s">
        <v>151</v>
      </c>
      <c r="L41" s="53" t="s">
        <v>152</v>
      </c>
      <c r="M41" s="196"/>
      <c r="N41" s="198"/>
    </row>
    <row r="42" spans="2:14" ht="15" thickBot="1">
      <c r="N42" s="57"/>
    </row>
    <row r="43" spans="2:14" ht="15" thickTop="1">
      <c r="K43" s="199" t="str">
        <f>IF(N43&lt;=45,"Passed!", "Failed!")</f>
        <v>Passed!</v>
      </c>
      <c r="M43" s="201" t="s">
        <v>158</v>
      </c>
      <c r="N43" s="199">
        <f>((E31+E32)*N31+(E34+E35)*N34+(E37+E38)*N37+(E40+E41)*N40)/(E31+E32+E34+E35+E37+E38+E40+E41)</f>
        <v>8.9722929123863686</v>
      </c>
    </row>
    <row r="44" spans="2:14" ht="15" thickBot="1">
      <c r="K44" s="200"/>
      <c r="M44" s="202"/>
      <c r="N44" s="200"/>
    </row>
    <row r="45" spans="2:14" ht="15" thickTop="1"/>
  </sheetData>
  <mergeCells count="48">
    <mergeCell ref="N11:N12"/>
    <mergeCell ref="K9:L9"/>
    <mergeCell ref="B11:B12"/>
    <mergeCell ref="F11:F12"/>
    <mergeCell ref="I11:I12"/>
    <mergeCell ref="M11:M12"/>
    <mergeCell ref="N14:N15"/>
    <mergeCell ref="B17:B18"/>
    <mergeCell ref="F17:F18"/>
    <mergeCell ref="I17:I18"/>
    <mergeCell ref="M17:M18"/>
    <mergeCell ref="N17:N18"/>
    <mergeCell ref="M31:M32"/>
    <mergeCell ref="B14:B15"/>
    <mergeCell ref="F14:F15"/>
    <mergeCell ref="I14:I15"/>
    <mergeCell ref="M14:M15"/>
    <mergeCell ref="B40:B41"/>
    <mergeCell ref="F40:F41"/>
    <mergeCell ref="I40:I41"/>
    <mergeCell ref="N31:N32"/>
    <mergeCell ref="B20:B21"/>
    <mergeCell ref="F20:F21"/>
    <mergeCell ref="I20:I21"/>
    <mergeCell ref="M20:M21"/>
    <mergeCell ref="N20:N21"/>
    <mergeCell ref="K23:K24"/>
    <mergeCell ref="M23:M24"/>
    <mergeCell ref="N23:N24"/>
    <mergeCell ref="K29:L29"/>
    <mergeCell ref="B31:B32"/>
    <mergeCell ref="F31:F32"/>
    <mergeCell ref="I31:I32"/>
    <mergeCell ref="B37:B38"/>
    <mergeCell ref="F37:F38"/>
    <mergeCell ref="I37:I38"/>
    <mergeCell ref="M37:M38"/>
    <mergeCell ref="N37:N38"/>
    <mergeCell ref="B34:B35"/>
    <mergeCell ref="F34:F35"/>
    <mergeCell ref="I34:I35"/>
    <mergeCell ref="M34:M35"/>
    <mergeCell ref="N34:N35"/>
    <mergeCell ref="M40:M41"/>
    <mergeCell ref="N40:N41"/>
    <mergeCell ref="K43:K44"/>
    <mergeCell ref="M43:M44"/>
    <mergeCell ref="N43:N44"/>
  </mergeCells>
  <pageMargins left="0.7" right="0.7" top="0.75" bottom="0.75" header="0.3" footer="0.3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Lists!$C$36:$J$36</xm:f>
          </x14:formula1>
          <xm:sqref>L32 L38 L35 L41</xm:sqref>
        </x14:dataValidation>
        <x14:dataValidation type="list" allowBlank="1" showInputMessage="1" showErrorMessage="1">
          <x14:formula1>
            <xm:f>Lists!$B$37:$B$50</xm:f>
          </x14:formula1>
          <xm:sqref>L31 L37 L34 L40</xm:sqref>
        </x14:dataValidation>
        <x14:dataValidation type="list" allowBlank="1" showInputMessage="1" showErrorMessage="1">
          <x14:formula1>
            <xm:f>Lists!$B$28:$B$32</xm:f>
          </x14:formula1>
          <xm:sqref>D31 D37 D34 D40</xm:sqref>
        </x14:dataValidation>
        <x14:dataValidation type="list" allowBlank="1" showInputMessage="1" showErrorMessage="1">
          <x14:formula1>
            <xm:f>'Windows &amp; Shading'!$C$20:$C$24</xm:f>
          </x14:formula1>
          <xm:sqref>J11</xm:sqref>
        </x14:dataValidation>
        <x14:dataValidation type="list" allowBlank="1" showInputMessage="1" showErrorMessage="1">
          <x14:formula1>
            <xm:f>Lists!$B$22:$B$24</xm:f>
          </x14:formula1>
          <xm:sqref>J20 J14 J17</xm:sqref>
        </x14:dataValidation>
        <x14:dataValidation type="list" allowBlank="1" showInputMessage="1" showErrorMessage="1">
          <x14:formula1>
            <xm:f>Lists!$C$12:$J$12</xm:f>
          </x14:formula1>
          <xm:sqref>L15 L12 L21 L18</xm:sqref>
        </x14:dataValidation>
        <x14:dataValidation type="list" allowBlank="1" showInputMessage="1" showErrorMessage="1">
          <x14:formula1>
            <xm:f>Lists!$B$13:$B$17</xm:f>
          </x14:formula1>
          <xm:sqref>L11 L14 L17 L20</xm:sqref>
        </x14:dataValidation>
        <x14:dataValidation type="list" allowBlank="1" showInputMessage="1" showErrorMessage="1">
          <x14:formula1>
            <xm:f>'Windows &amp; Shading'!$C$7:$C$11</xm:f>
          </x14:formula1>
          <xm:sqref>D15 D12 D21 D18 D38 D32 D35 D41</xm:sqref>
        </x14:dataValidation>
        <x14:dataValidation type="list" allowBlank="1" showInputMessage="1" showErrorMessage="1">
          <x14:formula1>
            <xm:f>Lists!$B$4:$B$8</xm:f>
          </x14:formula1>
          <xm:sqref>D11 D14 D17 D20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18"/>
  <sheetViews>
    <sheetView workbookViewId="0">
      <selection activeCell="H13" sqref="H13"/>
    </sheetView>
  </sheetViews>
  <sheetFormatPr defaultColWidth="11.5546875" defaultRowHeight="14.4"/>
  <cols>
    <col min="2" max="2" width="27.44140625" customWidth="1"/>
  </cols>
  <sheetData>
    <row r="1" spans="2:13">
      <c r="C1" t="s">
        <v>128</v>
      </c>
      <c r="D1" t="s">
        <v>129</v>
      </c>
      <c r="K1" s="41"/>
    </row>
    <row r="2" spans="2:13">
      <c r="C2" t="s">
        <v>130</v>
      </c>
      <c r="D2" t="s">
        <v>131</v>
      </c>
      <c r="K2" s="41"/>
    </row>
    <row r="3" spans="2:13">
      <c r="K3" s="41"/>
    </row>
    <row r="4" spans="2:13">
      <c r="K4" s="41"/>
    </row>
    <row r="5" spans="2:13" ht="21">
      <c r="B5" s="42" t="s">
        <v>165</v>
      </c>
      <c r="K5" s="41"/>
    </row>
    <row r="6" spans="2:13">
      <c r="K6" s="41"/>
    </row>
    <row r="8" spans="2:13" ht="43.2">
      <c r="B8" s="44" t="s">
        <v>134</v>
      </c>
      <c r="C8" s="45" t="s">
        <v>166</v>
      </c>
      <c r="D8" s="45" t="s">
        <v>167</v>
      </c>
      <c r="E8" s="45" t="s">
        <v>140</v>
      </c>
      <c r="F8" s="45" t="s">
        <v>168</v>
      </c>
      <c r="G8" s="44" t="s">
        <v>169</v>
      </c>
      <c r="H8" s="44" t="s">
        <v>170</v>
      </c>
      <c r="L8" s="45" t="s">
        <v>171</v>
      </c>
      <c r="M8" s="45" t="s">
        <v>172</v>
      </c>
    </row>
    <row r="9" spans="2:13">
      <c r="B9" s="48" t="s">
        <v>153</v>
      </c>
      <c r="C9" s="48">
        <v>297.5</v>
      </c>
      <c r="D9" s="48">
        <v>70</v>
      </c>
      <c r="E9" s="48">
        <v>0.83</v>
      </c>
      <c r="F9" s="48" t="s">
        <v>147</v>
      </c>
      <c r="G9" s="50">
        <f>VLOOKUP(F9,'Windows &amp; Shading'!$C$20:$G$24,5,FALSE)</f>
        <v>0.72550000000000003</v>
      </c>
      <c r="H9" s="50">
        <f>E9*G9</f>
        <v>0.60216499999999995</v>
      </c>
      <c r="L9" s="60">
        <v>0</v>
      </c>
      <c r="M9" s="60">
        <v>0.9</v>
      </c>
    </row>
    <row r="10" spans="2:13">
      <c r="B10" s="48" t="s">
        <v>115</v>
      </c>
      <c r="C10" s="48">
        <v>13.5</v>
      </c>
      <c r="D10" s="48">
        <v>39</v>
      </c>
      <c r="E10" s="48">
        <v>0.83</v>
      </c>
      <c r="F10" s="48" t="s">
        <v>154</v>
      </c>
      <c r="G10" s="50">
        <f>VLOOKUP(F10,'Windows &amp; Shading'!$C$20:$G$24,5,FALSE)</f>
        <v>1</v>
      </c>
      <c r="H10" s="50">
        <f>E10*G10</f>
        <v>0.83</v>
      </c>
      <c r="L10" s="60">
        <v>10</v>
      </c>
      <c r="M10" s="60">
        <v>0.8</v>
      </c>
    </row>
    <row r="11" spans="2:13">
      <c r="B11" s="48"/>
      <c r="C11" s="48">
        <v>0</v>
      </c>
      <c r="D11" s="48">
        <v>0</v>
      </c>
      <c r="E11" s="48"/>
      <c r="F11" s="48" t="s">
        <v>154</v>
      </c>
      <c r="G11" s="50">
        <f>VLOOKUP(F11,'Windows &amp; Shading'!$C$20:$G$24,5,FALSE)</f>
        <v>1</v>
      </c>
      <c r="H11" s="50"/>
      <c r="L11" s="60">
        <v>20</v>
      </c>
      <c r="M11" s="60">
        <v>0.7</v>
      </c>
    </row>
    <row r="12" spans="2:13">
      <c r="B12" s="48"/>
      <c r="C12" s="48">
        <v>0</v>
      </c>
      <c r="D12" s="48">
        <v>0</v>
      </c>
      <c r="E12" s="48"/>
      <c r="F12" s="48" t="s">
        <v>154</v>
      </c>
      <c r="G12" s="50">
        <f>VLOOKUP(F12,'Windows &amp; Shading'!$C$20:$G$24,5,FALSE)</f>
        <v>1</v>
      </c>
      <c r="H12" s="50"/>
      <c r="L12" s="60">
        <v>30</v>
      </c>
      <c r="M12" s="60">
        <v>0.6</v>
      </c>
    </row>
    <row r="13" spans="2:13">
      <c r="C13" s="212">
        <f>SUM(D9:D12)/SUM(C9:D12)*100</f>
        <v>25.952380952380956</v>
      </c>
      <c r="D13" s="213"/>
      <c r="H13" s="60">
        <f>((C9+D9)*H9+(C10+D10)*H10+(C11+D11)*H11+(C12+D12)*H12)/SUM(C9:D12)</f>
        <v>0.63064437499999992</v>
      </c>
      <c r="I13" s="60" t="s">
        <v>173</v>
      </c>
      <c r="J13" s="60">
        <f>IF(C13&lt;=30,0.9-0.01*C13)+IF(AND(C13&gt;30,C13&lt;=40),0.6-0.015*(C13-30))+IF(AND(C13&gt;40,C13&lt;=50),0.45-0.001*(C13-40))+IF(AND(C13&gt;50,C13&lt;=60),0.44-0.007*(C13-50))+IF(AND(C13&gt;60,C13&lt;=70),0.37-0.006*(C13-60))+IF(AND(C13&gt;70,C13&lt;=80),0.31-0.004*(C13-70))+IF(AND(C13&gt;80,C13&lt;=90),0.27-0.003*(C13-80))+IF(C13&gt;90,0.24)</f>
        <v>0.64047619047619042</v>
      </c>
      <c r="L13" s="60">
        <v>40</v>
      </c>
      <c r="M13" s="60">
        <v>0.45</v>
      </c>
    </row>
    <row r="14" spans="2:13" ht="15" thickBot="1">
      <c r="C14" s="61"/>
      <c r="D14" s="61"/>
      <c r="L14" s="60">
        <v>50</v>
      </c>
      <c r="M14" s="60">
        <v>0.44</v>
      </c>
    </row>
    <row r="15" spans="2:13" ht="15.6" thickTop="1" thickBot="1">
      <c r="H15" s="214" t="str">
        <f>IF(H13&lt;J13,"Passed!","Failed!")</f>
        <v>Passed!</v>
      </c>
      <c r="I15" s="215"/>
      <c r="J15" s="216"/>
      <c r="L15" s="60">
        <v>60</v>
      </c>
      <c r="M15" s="60">
        <v>0.37</v>
      </c>
    </row>
    <row r="16" spans="2:13" ht="15" thickTop="1">
      <c r="L16" s="60">
        <v>70</v>
      </c>
      <c r="M16" s="60">
        <v>0.31</v>
      </c>
    </row>
    <row r="17" spans="12:13">
      <c r="L17" s="60">
        <v>80</v>
      </c>
      <c r="M17" s="60">
        <v>0.27</v>
      </c>
    </row>
    <row r="18" spans="12:13">
      <c r="L18" s="60">
        <v>90</v>
      </c>
      <c r="M18" s="60">
        <v>0.24</v>
      </c>
    </row>
  </sheetData>
  <mergeCells count="2">
    <mergeCell ref="C13:D13"/>
    <mergeCell ref="H15:J15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Lists!$B$22:$B$24</xm:f>
          </x14:formula1>
          <xm:sqref>F9:F12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B2:J84"/>
  <sheetViews>
    <sheetView topLeftCell="A12" workbookViewId="0">
      <selection activeCell="G45" sqref="G45"/>
    </sheetView>
  </sheetViews>
  <sheetFormatPr defaultColWidth="8.77734375" defaultRowHeight="14.4"/>
  <cols>
    <col min="3" max="3" width="25.6640625" customWidth="1"/>
    <col min="4" max="6" width="17.6640625" customWidth="1"/>
    <col min="7" max="7" width="5.6640625" customWidth="1"/>
    <col min="8" max="9" width="17.6640625" customWidth="1"/>
  </cols>
  <sheetData>
    <row r="2" spans="2:10">
      <c r="B2" s="62"/>
      <c r="C2" s="63"/>
      <c r="D2" s="63"/>
      <c r="E2" s="63"/>
      <c r="F2" s="63"/>
      <c r="G2" s="63"/>
      <c r="H2" s="63"/>
      <c r="I2" s="63"/>
      <c r="J2" s="64"/>
    </row>
    <row r="3" spans="2:10" ht="18">
      <c r="B3" s="65"/>
      <c r="C3" s="66" t="s">
        <v>174</v>
      </c>
      <c r="D3" s="37"/>
      <c r="E3" s="37"/>
      <c r="F3" s="37"/>
      <c r="G3" s="37"/>
      <c r="H3" s="37"/>
      <c r="I3" s="37"/>
      <c r="J3" s="67"/>
    </row>
    <row r="4" spans="2:10">
      <c r="B4" s="68"/>
      <c r="C4" s="69"/>
      <c r="D4" s="69"/>
      <c r="E4" s="69"/>
      <c r="F4" s="69"/>
      <c r="G4" s="69"/>
      <c r="H4" s="69"/>
      <c r="I4" s="69"/>
      <c r="J4" s="70"/>
    </row>
    <row r="5" spans="2:10">
      <c r="B5" s="65"/>
      <c r="C5" s="37"/>
      <c r="D5" s="37"/>
      <c r="E5" s="37"/>
      <c r="F5" s="37"/>
      <c r="G5" s="37"/>
      <c r="H5" s="37"/>
      <c r="I5" s="37"/>
      <c r="J5" s="67"/>
    </row>
    <row r="6" spans="2:10">
      <c r="B6" s="65"/>
      <c r="C6" s="71" t="s">
        <v>175</v>
      </c>
      <c r="D6" s="72" t="s">
        <v>146</v>
      </c>
      <c r="E6" s="37"/>
      <c r="F6" s="37"/>
      <c r="G6" s="37"/>
      <c r="H6" s="37"/>
      <c r="I6" s="37"/>
      <c r="J6" s="67"/>
    </row>
    <row r="7" spans="2:10">
      <c r="B7" s="65"/>
      <c r="C7" s="37"/>
      <c r="D7" s="37"/>
      <c r="E7" s="37"/>
      <c r="F7" s="37"/>
      <c r="G7" s="37"/>
      <c r="H7" s="37"/>
      <c r="I7" s="37"/>
      <c r="J7" s="67"/>
    </row>
    <row r="8" spans="2:10">
      <c r="B8" s="65"/>
      <c r="C8" s="37" t="s">
        <v>176</v>
      </c>
      <c r="D8" s="37" t="s">
        <v>177</v>
      </c>
      <c r="E8" s="73">
        <v>0.12</v>
      </c>
      <c r="F8" s="37"/>
      <c r="G8" s="37"/>
      <c r="H8" s="37"/>
      <c r="I8" s="37"/>
      <c r="J8" s="67"/>
    </row>
    <row r="9" spans="2:10">
      <c r="B9" s="65"/>
      <c r="C9" s="37"/>
      <c r="D9" s="37" t="s">
        <v>178</v>
      </c>
      <c r="E9" s="73">
        <v>0.04</v>
      </c>
      <c r="F9" s="37"/>
      <c r="G9" s="37"/>
      <c r="H9" s="37"/>
      <c r="I9" s="37"/>
      <c r="J9" s="67"/>
    </row>
    <row r="10" spans="2:10">
      <c r="B10" s="65"/>
      <c r="C10" s="37"/>
      <c r="D10" s="37"/>
      <c r="E10" s="37"/>
      <c r="F10" s="37"/>
      <c r="G10" s="37"/>
      <c r="H10" s="37"/>
      <c r="I10" s="37"/>
      <c r="J10" s="67"/>
    </row>
    <row r="11" spans="2:10">
      <c r="B11" s="65"/>
      <c r="C11" s="37" t="s">
        <v>179</v>
      </c>
      <c r="D11" s="74" t="s">
        <v>180</v>
      </c>
      <c r="E11" s="74" t="s">
        <v>181</v>
      </c>
      <c r="F11" s="74" t="s">
        <v>182</v>
      </c>
      <c r="G11" s="37"/>
      <c r="H11" s="74" t="s">
        <v>183</v>
      </c>
      <c r="I11" s="74" t="s">
        <v>184</v>
      </c>
      <c r="J11" s="67"/>
    </row>
    <row r="12" spans="2:10">
      <c r="B12" s="65"/>
      <c r="C12" s="75" t="s">
        <v>185</v>
      </c>
      <c r="D12" s="73">
        <v>0.72099999999999997</v>
      </c>
      <c r="E12" s="73">
        <v>1925</v>
      </c>
      <c r="F12" s="73">
        <v>0.15</v>
      </c>
      <c r="G12" s="37"/>
      <c r="H12" s="76">
        <f>IFERROR(F12/D12,0)</f>
        <v>0.20804438280166435</v>
      </c>
      <c r="I12" s="76">
        <f>E12*F12</f>
        <v>288.75</v>
      </c>
      <c r="J12" s="67"/>
    </row>
    <row r="13" spans="2:10">
      <c r="B13" s="65"/>
      <c r="C13" s="75"/>
      <c r="D13" s="73"/>
      <c r="E13" s="73"/>
      <c r="F13" s="73"/>
      <c r="G13" s="37"/>
      <c r="H13" s="76">
        <f t="shared" ref="H13:H16" si="0">IFERROR(F13/D13,0)</f>
        <v>0</v>
      </c>
      <c r="I13" s="76">
        <f t="shared" ref="I13:I16" si="1">E13*F13</f>
        <v>0</v>
      </c>
      <c r="J13" s="67"/>
    </row>
    <row r="14" spans="2:10">
      <c r="B14" s="65"/>
      <c r="C14" s="75"/>
      <c r="D14" s="73"/>
      <c r="E14" s="73"/>
      <c r="F14" s="73"/>
      <c r="G14" s="37"/>
      <c r="H14" s="76">
        <f t="shared" si="0"/>
        <v>0</v>
      </c>
      <c r="I14" s="76">
        <f t="shared" si="1"/>
        <v>0</v>
      </c>
      <c r="J14" s="67"/>
    </row>
    <row r="15" spans="2:10">
      <c r="B15" s="65"/>
      <c r="C15" s="75"/>
      <c r="D15" s="73"/>
      <c r="E15" s="73"/>
      <c r="F15" s="73"/>
      <c r="G15" s="37"/>
      <c r="H15" s="76">
        <f t="shared" si="0"/>
        <v>0</v>
      </c>
      <c r="I15" s="76">
        <f t="shared" si="1"/>
        <v>0</v>
      </c>
      <c r="J15" s="67"/>
    </row>
    <row r="16" spans="2:10">
      <c r="B16" s="65"/>
      <c r="C16" s="75"/>
      <c r="D16" s="73"/>
      <c r="E16" s="73"/>
      <c r="F16" s="73"/>
      <c r="G16" s="37"/>
      <c r="H16" s="76">
        <f t="shared" si="0"/>
        <v>0</v>
      </c>
      <c r="I16" s="76">
        <f t="shared" si="1"/>
        <v>0</v>
      </c>
      <c r="J16" s="67"/>
    </row>
    <row r="17" spans="2:10">
      <c r="B17" s="65"/>
      <c r="C17" s="37"/>
      <c r="D17" s="37"/>
      <c r="E17" s="37"/>
      <c r="F17" s="37"/>
      <c r="G17" s="37"/>
      <c r="H17" s="37"/>
      <c r="I17" s="37"/>
      <c r="J17" s="67"/>
    </row>
    <row r="18" spans="2:10">
      <c r="B18" s="65"/>
      <c r="C18" s="37"/>
      <c r="D18" s="74" t="s">
        <v>186</v>
      </c>
      <c r="E18" s="74" t="s">
        <v>184</v>
      </c>
      <c r="F18" s="37"/>
      <c r="G18" s="37"/>
      <c r="H18" s="37"/>
      <c r="I18" s="37"/>
      <c r="J18" s="67"/>
    </row>
    <row r="19" spans="2:10">
      <c r="B19" s="65"/>
      <c r="C19" s="71" t="s">
        <v>187</v>
      </c>
      <c r="D19" s="60">
        <f>IFERROR(1/(E8+H12+H13+H14+H15+H16+E9),0)</f>
        <v>2.7170636116973168</v>
      </c>
      <c r="E19" s="76">
        <f>SUM(I12:I16)</f>
        <v>288.75</v>
      </c>
      <c r="F19" s="37"/>
      <c r="G19" s="37"/>
      <c r="H19" s="37"/>
      <c r="I19" s="37"/>
      <c r="J19" s="67"/>
    </row>
    <row r="20" spans="2:10">
      <c r="B20" s="68"/>
      <c r="C20" s="69"/>
      <c r="D20" s="69"/>
      <c r="E20" s="69"/>
      <c r="F20" s="69"/>
      <c r="G20" s="69"/>
      <c r="H20" s="69"/>
      <c r="I20" s="69"/>
      <c r="J20" s="70"/>
    </row>
    <row r="21" spans="2:10">
      <c r="B21" s="65"/>
      <c r="C21" s="37"/>
      <c r="D21" s="37"/>
      <c r="E21" s="37"/>
      <c r="F21" s="37"/>
      <c r="G21" s="37"/>
      <c r="H21" s="37"/>
      <c r="I21" s="37"/>
      <c r="J21" s="67"/>
    </row>
    <row r="22" spans="2:10">
      <c r="B22" s="65"/>
      <c r="C22" s="71" t="s">
        <v>175</v>
      </c>
      <c r="D22" s="72" t="s">
        <v>188</v>
      </c>
      <c r="E22" s="37"/>
      <c r="F22" s="37"/>
      <c r="G22" s="37"/>
      <c r="H22" s="37"/>
      <c r="I22" s="37"/>
      <c r="J22" s="67"/>
    </row>
    <row r="23" spans="2:10">
      <c r="B23" s="65"/>
      <c r="C23" s="37"/>
      <c r="D23" s="37"/>
      <c r="E23" s="37"/>
      <c r="F23" s="37"/>
      <c r="G23" s="37"/>
      <c r="H23" s="37"/>
      <c r="I23" s="37"/>
      <c r="J23" s="67"/>
    </row>
    <row r="24" spans="2:10">
      <c r="B24" s="65"/>
      <c r="C24" s="37" t="s">
        <v>176</v>
      </c>
      <c r="D24" s="37" t="s">
        <v>177</v>
      </c>
      <c r="E24" s="73">
        <v>0.13</v>
      </c>
      <c r="F24" s="37"/>
      <c r="G24" s="37"/>
      <c r="H24" s="37"/>
      <c r="I24" s="37"/>
      <c r="J24" s="67"/>
    </row>
    <row r="25" spans="2:10">
      <c r="B25" s="65"/>
      <c r="C25" s="37"/>
      <c r="D25" s="37" t="s">
        <v>178</v>
      </c>
      <c r="E25" s="73">
        <v>0.04</v>
      </c>
      <c r="F25" s="37"/>
      <c r="G25" s="37"/>
      <c r="H25" s="37"/>
      <c r="I25" s="37"/>
      <c r="J25" s="67"/>
    </row>
    <row r="26" spans="2:10">
      <c r="B26" s="65"/>
      <c r="C26" s="37"/>
      <c r="D26" s="37"/>
      <c r="E26" s="37"/>
      <c r="F26" s="37"/>
      <c r="G26" s="37"/>
      <c r="H26" s="37"/>
      <c r="I26" s="37"/>
      <c r="J26" s="67"/>
    </row>
    <row r="27" spans="2:10">
      <c r="B27" s="65"/>
      <c r="C27" s="37" t="s">
        <v>179</v>
      </c>
      <c r="D27" s="74" t="s">
        <v>180</v>
      </c>
      <c r="E27" s="74" t="s">
        <v>181</v>
      </c>
      <c r="F27" s="74" t="s">
        <v>182</v>
      </c>
      <c r="G27" s="37"/>
      <c r="H27" s="74" t="s">
        <v>183</v>
      </c>
      <c r="I27" s="74" t="s">
        <v>184</v>
      </c>
      <c r="J27" s="67"/>
    </row>
    <row r="28" spans="2:10">
      <c r="B28" s="65"/>
      <c r="C28" s="75" t="s">
        <v>189</v>
      </c>
      <c r="D28" s="73">
        <v>1.4419999999999999</v>
      </c>
      <c r="E28" s="73">
        <v>2400</v>
      </c>
      <c r="F28" s="73">
        <v>0.1</v>
      </c>
      <c r="G28" s="37"/>
      <c r="H28" s="76">
        <f>IFERROR(F28/D28,0)</f>
        <v>6.9348127600554796E-2</v>
      </c>
      <c r="I28" s="76">
        <f>E28*F28</f>
        <v>240</v>
      </c>
      <c r="J28" s="67"/>
    </row>
    <row r="29" spans="2:10">
      <c r="B29" s="65"/>
      <c r="C29" s="75"/>
      <c r="D29" s="73"/>
      <c r="E29" s="73"/>
      <c r="F29" s="73"/>
      <c r="G29" s="37"/>
      <c r="H29" s="76">
        <f t="shared" ref="H29:H32" si="2">IFERROR(F29/D29,0)</f>
        <v>0</v>
      </c>
      <c r="I29" s="76">
        <f t="shared" ref="I29:I32" si="3">E29*F29</f>
        <v>0</v>
      </c>
      <c r="J29" s="67"/>
    </row>
    <row r="30" spans="2:10">
      <c r="B30" s="65"/>
      <c r="C30" s="75"/>
      <c r="D30" s="73"/>
      <c r="E30" s="73"/>
      <c r="F30" s="73"/>
      <c r="G30" s="37"/>
      <c r="H30" s="76">
        <f t="shared" si="2"/>
        <v>0</v>
      </c>
      <c r="I30" s="76">
        <f t="shared" si="3"/>
        <v>0</v>
      </c>
      <c r="J30" s="67"/>
    </row>
    <row r="31" spans="2:10">
      <c r="B31" s="65"/>
      <c r="C31" s="75"/>
      <c r="D31" s="73"/>
      <c r="E31" s="73"/>
      <c r="F31" s="73"/>
      <c r="G31" s="37"/>
      <c r="H31" s="76">
        <f t="shared" si="2"/>
        <v>0</v>
      </c>
      <c r="I31" s="76">
        <f t="shared" si="3"/>
        <v>0</v>
      </c>
      <c r="J31" s="67"/>
    </row>
    <row r="32" spans="2:10">
      <c r="B32" s="65"/>
      <c r="C32" s="75"/>
      <c r="D32" s="73"/>
      <c r="E32" s="73"/>
      <c r="F32" s="73"/>
      <c r="G32" s="37"/>
      <c r="H32" s="76">
        <f t="shared" si="2"/>
        <v>0</v>
      </c>
      <c r="I32" s="76">
        <f t="shared" si="3"/>
        <v>0</v>
      </c>
      <c r="J32" s="67"/>
    </row>
    <row r="33" spans="2:10">
      <c r="B33" s="65"/>
      <c r="C33" s="37"/>
      <c r="D33" s="37"/>
      <c r="E33" s="37"/>
      <c r="F33" s="37"/>
      <c r="G33" s="37"/>
      <c r="H33" s="37"/>
      <c r="I33" s="37"/>
      <c r="J33" s="67"/>
    </row>
    <row r="34" spans="2:10">
      <c r="B34" s="65"/>
      <c r="C34" s="37"/>
      <c r="D34" s="74" t="s">
        <v>186</v>
      </c>
      <c r="E34" s="74" t="s">
        <v>181</v>
      </c>
      <c r="F34" s="37"/>
      <c r="G34" s="37"/>
      <c r="H34" s="37"/>
      <c r="I34" s="37"/>
      <c r="J34" s="67"/>
    </row>
    <row r="35" spans="2:10">
      <c r="B35" s="65"/>
      <c r="C35" s="71" t="s">
        <v>187</v>
      </c>
      <c r="D35" s="60">
        <f>IFERROR(1/(E24+H28+H29+H30+H31+H32+E25),0)</f>
        <v>4.1780147186648886</v>
      </c>
      <c r="E35" s="76">
        <f>IFERROR(SUM(I28:I32),0)</f>
        <v>240</v>
      </c>
      <c r="F35" s="37"/>
      <c r="G35" s="37"/>
      <c r="H35" s="37"/>
      <c r="I35" s="37"/>
      <c r="J35" s="67"/>
    </row>
    <row r="36" spans="2:10">
      <c r="B36" s="68"/>
      <c r="C36" s="69"/>
      <c r="D36" s="69"/>
      <c r="E36" s="69"/>
      <c r="F36" s="69"/>
      <c r="G36" s="69"/>
      <c r="H36" s="69"/>
      <c r="I36" s="69"/>
      <c r="J36" s="70"/>
    </row>
    <row r="37" spans="2:10">
      <c r="B37" s="65"/>
      <c r="C37" s="37"/>
      <c r="D37" s="37"/>
      <c r="E37" s="37"/>
      <c r="F37" s="37"/>
      <c r="G37" s="37"/>
      <c r="H37" s="37"/>
      <c r="I37" s="37"/>
      <c r="J37" s="67"/>
    </row>
    <row r="38" spans="2:10">
      <c r="B38" s="65"/>
      <c r="C38" s="71" t="s">
        <v>175</v>
      </c>
      <c r="D38" s="72" t="s">
        <v>190</v>
      </c>
      <c r="E38" s="37"/>
      <c r="F38" s="37"/>
      <c r="G38" s="37"/>
      <c r="H38" s="37"/>
      <c r="I38" s="37"/>
      <c r="J38" s="67"/>
    </row>
    <row r="39" spans="2:10">
      <c r="B39" s="65"/>
      <c r="C39" s="37"/>
      <c r="D39" s="37"/>
      <c r="E39" s="37"/>
      <c r="F39" s="37"/>
      <c r="G39" s="37"/>
      <c r="H39" s="37"/>
      <c r="I39" s="37"/>
      <c r="J39" s="67"/>
    </row>
    <row r="40" spans="2:10">
      <c r="B40" s="65"/>
      <c r="C40" s="37" t="s">
        <v>176</v>
      </c>
      <c r="D40" s="37" t="s">
        <v>177</v>
      </c>
      <c r="E40" s="73">
        <v>0.13</v>
      </c>
      <c r="F40" s="37"/>
      <c r="G40" s="37"/>
      <c r="H40" s="37"/>
      <c r="I40" s="37"/>
      <c r="J40" s="67"/>
    </row>
    <row r="41" spans="2:10">
      <c r="B41" s="65"/>
      <c r="C41" s="37"/>
      <c r="D41" s="37" t="s">
        <v>178</v>
      </c>
      <c r="E41" s="73">
        <v>0.04</v>
      </c>
      <c r="F41" s="37"/>
      <c r="G41" s="37"/>
      <c r="H41" s="37"/>
      <c r="I41" s="37"/>
      <c r="J41" s="67"/>
    </row>
    <row r="42" spans="2:10">
      <c r="B42" s="65"/>
      <c r="C42" s="37"/>
      <c r="D42" s="37"/>
      <c r="E42" s="37"/>
      <c r="F42" s="37"/>
      <c r="G42" s="37"/>
      <c r="H42" s="37"/>
      <c r="I42" s="37"/>
      <c r="J42" s="67"/>
    </row>
    <row r="43" spans="2:10">
      <c r="B43" s="65"/>
      <c r="C43" s="37" t="s">
        <v>179</v>
      </c>
      <c r="D43" s="74" t="s">
        <v>180</v>
      </c>
      <c r="E43" s="74" t="s">
        <v>181</v>
      </c>
      <c r="F43" s="74" t="s">
        <v>182</v>
      </c>
      <c r="G43" s="37"/>
      <c r="H43" s="74" t="s">
        <v>183</v>
      </c>
      <c r="I43" s="74" t="s">
        <v>184</v>
      </c>
      <c r="J43" s="67"/>
    </row>
    <row r="44" spans="2:10">
      <c r="B44" s="65"/>
      <c r="C44" s="75" t="s">
        <v>191</v>
      </c>
      <c r="D44" s="73">
        <v>0.30299999999999999</v>
      </c>
      <c r="E44" s="73">
        <v>960</v>
      </c>
      <c r="F44" s="73">
        <v>0.15</v>
      </c>
      <c r="G44" s="37"/>
      <c r="H44" s="76">
        <f>IFERROR(F44/D44,0)</f>
        <v>0.49504950495049505</v>
      </c>
      <c r="I44" s="76">
        <f>E44*F44</f>
        <v>144</v>
      </c>
      <c r="J44" s="67"/>
    </row>
    <row r="45" spans="2:10">
      <c r="B45" s="65"/>
      <c r="C45" s="75"/>
      <c r="D45" s="73"/>
      <c r="E45" s="73"/>
      <c r="F45" s="73"/>
      <c r="G45" s="37"/>
      <c r="H45" s="76">
        <f t="shared" ref="H45:H48" si="4">IFERROR(F45/D45,0)</f>
        <v>0</v>
      </c>
      <c r="I45" s="76">
        <f t="shared" ref="I45:I48" si="5">E45*F45</f>
        <v>0</v>
      </c>
      <c r="J45" s="67"/>
    </row>
    <row r="46" spans="2:10">
      <c r="B46" s="65"/>
      <c r="C46" s="75"/>
      <c r="D46" s="73"/>
      <c r="E46" s="73"/>
      <c r="F46" s="73"/>
      <c r="G46" s="37"/>
      <c r="H46" s="76">
        <f t="shared" si="4"/>
        <v>0</v>
      </c>
      <c r="I46" s="76">
        <f t="shared" si="5"/>
        <v>0</v>
      </c>
      <c r="J46" s="67"/>
    </row>
    <row r="47" spans="2:10">
      <c r="B47" s="65"/>
      <c r="C47" s="75"/>
      <c r="D47" s="73"/>
      <c r="E47" s="73"/>
      <c r="F47" s="73"/>
      <c r="G47" s="37"/>
      <c r="H47" s="76">
        <f t="shared" si="4"/>
        <v>0</v>
      </c>
      <c r="I47" s="76">
        <f t="shared" si="5"/>
        <v>0</v>
      </c>
      <c r="J47" s="67"/>
    </row>
    <row r="48" spans="2:10">
      <c r="B48" s="65"/>
      <c r="C48" s="75"/>
      <c r="D48" s="73"/>
      <c r="E48" s="73"/>
      <c r="F48" s="73"/>
      <c r="G48" s="37"/>
      <c r="H48" s="76">
        <f t="shared" si="4"/>
        <v>0</v>
      </c>
      <c r="I48" s="76">
        <f t="shared" si="5"/>
        <v>0</v>
      </c>
      <c r="J48" s="67"/>
    </row>
    <row r="49" spans="2:10">
      <c r="B49" s="65"/>
      <c r="C49" s="37"/>
      <c r="D49" s="37"/>
      <c r="E49" s="37"/>
      <c r="F49" s="37"/>
      <c r="G49" s="37"/>
      <c r="H49" s="37"/>
      <c r="I49" s="37"/>
      <c r="J49" s="67"/>
    </row>
    <row r="50" spans="2:10">
      <c r="B50" s="65"/>
      <c r="C50" s="37"/>
      <c r="D50" s="74" t="s">
        <v>186</v>
      </c>
      <c r="E50" s="74" t="s">
        <v>181</v>
      </c>
      <c r="F50" s="37"/>
      <c r="G50" s="37"/>
      <c r="H50" s="37"/>
      <c r="I50" s="37"/>
      <c r="J50" s="67"/>
    </row>
    <row r="51" spans="2:10">
      <c r="B51" s="65"/>
      <c r="C51" s="71" t="s">
        <v>187</v>
      </c>
      <c r="D51" s="60">
        <f>IFERROR(1/(E40+H44+H45+H46+H47+H48+E41),0)</f>
        <v>1.5036474616644335</v>
      </c>
      <c r="E51" s="76">
        <f>IFERROR(SUM(I44:I48),0)</f>
        <v>144</v>
      </c>
      <c r="F51" s="37"/>
      <c r="G51" s="37"/>
      <c r="H51" s="37"/>
      <c r="I51" s="37"/>
      <c r="J51" s="67"/>
    </row>
    <row r="52" spans="2:10">
      <c r="B52" s="68"/>
      <c r="C52" s="69"/>
      <c r="D52" s="69"/>
      <c r="E52" s="69"/>
      <c r="F52" s="69"/>
      <c r="G52" s="69"/>
      <c r="H52" s="69"/>
      <c r="I52" s="69"/>
      <c r="J52" s="70"/>
    </row>
    <row r="53" spans="2:10">
      <c r="B53" s="65"/>
      <c r="C53" s="37"/>
      <c r="D53" s="37"/>
      <c r="E53" s="37"/>
      <c r="F53" s="37"/>
      <c r="G53" s="37"/>
      <c r="H53" s="37"/>
      <c r="I53" s="37"/>
      <c r="J53" s="67"/>
    </row>
    <row r="54" spans="2:10">
      <c r="B54" s="65"/>
      <c r="C54" s="71" t="s">
        <v>175</v>
      </c>
      <c r="D54" s="72" t="s">
        <v>192</v>
      </c>
      <c r="E54" s="37"/>
      <c r="F54" s="37"/>
      <c r="G54" s="37"/>
      <c r="H54" s="37"/>
      <c r="I54" s="37"/>
      <c r="J54" s="67"/>
    </row>
    <row r="55" spans="2:10">
      <c r="B55" s="65"/>
      <c r="C55" s="37"/>
      <c r="D55" s="37"/>
      <c r="E55" s="37"/>
      <c r="F55" s="37"/>
      <c r="G55" s="37"/>
      <c r="H55" s="37"/>
      <c r="I55" s="37"/>
      <c r="J55" s="67"/>
    </row>
    <row r="56" spans="2:10">
      <c r="B56" s="65"/>
      <c r="C56" s="37" t="s">
        <v>176</v>
      </c>
      <c r="D56" s="37" t="s">
        <v>177</v>
      </c>
      <c r="E56" s="73">
        <v>0.13</v>
      </c>
      <c r="F56" s="37"/>
      <c r="G56" s="37"/>
      <c r="H56" s="37"/>
      <c r="I56" s="37"/>
      <c r="J56" s="67"/>
    </row>
    <row r="57" spans="2:10">
      <c r="B57" s="65"/>
      <c r="C57" s="37"/>
      <c r="D57" s="37" t="s">
        <v>178</v>
      </c>
      <c r="E57" s="73">
        <v>0.04</v>
      </c>
      <c r="F57" s="37"/>
      <c r="G57" s="37"/>
      <c r="H57" s="37"/>
      <c r="I57" s="37"/>
      <c r="J57" s="67"/>
    </row>
    <row r="58" spans="2:10">
      <c r="B58" s="65"/>
      <c r="C58" s="37"/>
      <c r="D58" s="37"/>
      <c r="E58" s="37"/>
      <c r="F58" s="37"/>
      <c r="G58" s="37"/>
      <c r="H58" s="37"/>
      <c r="I58" s="37"/>
      <c r="J58" s="67"/>
    </row>
    <row r="59" spans="2:10">
      <c r="B59" s="65"/>
      <c r="C59" s="37" t="s">
        <v>179</v>
      </c>
      <c r="D59" s="74" t="s">
        <v>180</v>
      </c>
      <c r="E59" s="74" t="s">
        <v>181</v>
      </c>
      <c r="F59" s="74" t="s">
        <v>182</v>
      </c>
      <c r="G59" s="37"/>
      <c r="H59" s="74" t="s">
        <v>183</v>
      </c>
      <c r="I59" s="74" t="s">
        <v>184</v>
      </c>
      <c r="J59" s="67"/>
    </row>
    <row r="60" spans="2:10">
      <c r="B60" s="65"/>
      <c r="C60" s="75" t="s">
        <v>191</v>
      </c>
      <c r="D60" s="73">
        <v>0.30299999999999999</v>
      </c>
      <c r="E60" s="73">
        <v>960</v>
      </c>
      <c r="F60" s="73">
        <v>0.17</v>
      </c>
      <c r="G60" s="37"/>
      <c r="H60" s="76">
        <f>IFERROR(F60/D60,0)</f>
        <v>0.56105610561056107</v>
      </c>
      <c r="I60" s="76">
        <f>E60*F60</f>
        <v>163.20000000000002</v>
      </c>
      <c r="J60" s="67"/>
    </row>
    <row r="61" spans="2:10">
      <c r="B61" s="65"/>
      <c r="C61" s="75"/>
      <c r="D61" s="73"/>
      <c r="E61" s="73"/>
      <c r="F61" s="73"/>
      <c r="G61" s="37"/>
      <c r="H61" s="76">
        <f t="shared" ref="H61:H64" si="6">IFERROR(F61/D61,0)</f>
        <v>0</v>
      </c>
      <c r="I61" s="76">
        <f t="shared" ref="I61:I64" si="7">E61*F61</f>
        <v>0</v>
      </c>
      <c r="J61" s="67"/>
    </row>
    <row r="62" spans="2:10">
      <c r="B62" s="65"/>
      <c r="C62" s="75"/>
      <c r="D62" s="73"/>
      <c r="E62" s="73"/>
      <c r="F62" s="73"/>
      <c r="G62" s="37"/>
      <c r="H62" s="76">
        <f t="shared" si="6"/>
        <v>0</v>
      </c>
      <c r="I62" s="76">
        <f t="shared" si="7"/>
        <v>0</v>
      </c>
      <c r="J62" s="67"/>
    </row>
    <row r="63" spans="2:10">
      <c r="B63" s="65"/>
      <c r="C63" s="75"/>
      <c r="D63" s="73"/>
      <c r="E63" s="73"/>
      <c r="F63" s="73"/>
      <c r="G63" s="37"/>
      <c r="H63" s="76">
        <f t="shared" si="6"/>
        <v>0</v>
      </c>
      <c r="I63" s="76">
        <f t="shared" si="7"/>
        <v>0</v>
      </c>
      <c r="J63" s="67"/>
    </row>
    <row r="64" spans="2:10">
      <c r="B64" s="65"/>
      <c r="C64" s="75"/>
      <c r="D64" s="73"/>
      <c r="E64" s="73"/>
      <c r="F64" s="73"/>
      <c r="G64" s="37"/>
      <c r="H64" s="76">
        <f t="shared" si="6"/>
        <v>0</v>
      </c>
      <c r="I64" s="76">
        <f t="shared" si="7"/>
        <v>0</v>
      </c>
      <c r="J64" s="67"/>
    </row>
    <row r="65" spans="2:10">
      <c r="B65" s="65"/>
      <c r="C65" s="37"/>
      <c r="D65" s="37"/>
      <c r="E65" s="37"/>
      <c r="F65" s="37"/>
      <c r="G65" s="37"/>
      <c r="H65" s="37"/>
      <c r="I65" s="37"/>
      <c r="J65" s="67"/>
    </row>
    <row r="66" spans="2:10">
      <c r="B66" s="65"/>
      <c r="C66" s="37"/>
      <c r="D66" s="74" t="s">
        <v>186</v>
      </c>
      <c r="E66" s="74" t="s">
        <v>181</v>
      </c>
      <c r="F66" s="37"/>
      <c r="G66" s="37"/>
      <c r="H66" s="37"/>
      <c r="I66" s="37"/>
      <c r="J66" s="67"/>
    </row>
    <row r="67" spans="2:10">
      <c r="B67" s="65"/>
      <c r="C67" s="71" t="s">
        <v>187</v>
      </c>
      <c r="D67" s="60">
        <f>IFERROR(1/(E56+H60+H61+H62+H63+H64+E57),0)</f>
        <v>1.3678840684393481</v>
      </c>
      <c r="E67" s="76">
        <f>IFERROR(SUM(I60:I64),0)</f>
        <v>163.20000000000002</v>
      </c>
      <c r="F67" s="37"/>
      <c r="G67" s="37"/>
      <c r="H67" s="37"/>
      <c r="I67" s="37"/>
      <c r="J67" s="67"/>
    </row>
    <row r="68" spans="2:10">
      <c r="B68" s="68"/>
      <c r="C68" s="69"/>
      <c r="D68" s="69"/>
      <c r="E68" s="69"/>
      <c r="F68" s="69"/>
      <c r="G68" s="69"/>
      <c r="H68" s="69"/>
      <c r="I68" s="69"/>
      <c r="J68" s="70"/>
    </row>
    <row r="69" spans="2:10">
      <c r="B69" s="65"/>
      <c r="C69" s="37"/>
      <c r="D69" s="37"/>
      <c r="E69" s="37"/>
      <c r="F69" s="37"/>
      <c r="G69" s="37"/>
      <c r="H69" s="37"/>
      <c r="I69" s="37"/>
      <c r="J69" s="67"/>
    </row>
    <row r="70" spans="2:10">
      <c r="B70" s="65"/>
      <c r="C70" s="71" t="s">
        <v>175</v>
      </c>
      <c r="D70" s="72"/>
      <c r="E70" s="37"/>
      <c r="F70" s="37"/>
      <c r="G70" s="37"/>
      <c r="H70" s="37"/>
      <c r="I70" s="37"/>
      <c r="J70" s="67"/>
    </row>
    <row r="71" spans="2:10">
      <c r="B71" s="65"/>
      <c r="C71" s="37"/>
      <c r="D71" s="37"/>
      <c r="E71" s="37"/>
      <c r="F71" s="37"/>
      <c r="G71" s="37"/>
      <c r="H71" s="37"/>
      <c r="I71" s="37"/>
      <c r="J71" s="67"/>
    </row>
    <row r="72" spans="2:10">
      <c r="B72" s="65"/>
      <c r="C72" s="37" t="s">
        <v>176</v>
      </c>
      <c r="D72" s="37" t="s">
        <v>177</v>
      </c>
      <c r="E72" s="73">
        <v>0.13</v>
      </c>
      <c r="F72" s="37"/>
      <c r="G72" s="37"/>
      <c r="H72" s="37"/>
      <c r="I72" s="37"/>
      <c r="J72" s="67"/>
    </row>
    <row r="73" spans="2:10">
      <c r="B73" s="65"/>
      <c r="C73" s="37"/>
      <c r="D73" s="37" t="s">
        <v>178</v>
      </c>
      <c r="E73" s="73">
        <v>0.04</v>
      </c>
      <c r="F73" s="37"/>
      <c r="G73" s="37"/>
      <c r="H73" s="37"/>
      <c r="I73" s="37"/>
      <c r="J73" s="67"/>
    </row>
    <row r="74" spans="2:10">
      <c r="B74" s="65"/>
      <c r="C74" s="37"/>
      <c r="D74" s="37"/>
      <c r="E74" s="37"/>
      <c r="F74" s="37"/>
      <c r="G74" s="37"/>
      <c r="H74" s="37"/>
      <c r="I74" s="37"/>
      <c r="J74" s="67"/>
    </row>
    <row r="75" spans="2:10">
      <c r="B75" s="65"/>
      <c r="C75" s="37" t="s">
        <v>179</v>
      </c>
      <c r="D75" s="74" t="s">
        <v>180</v>
      </c>
      <c r="E75" s="74" t="s">
        <v>181</v>
      </c>
      <c r="F75" s="74" t="s">
        <v>182</v>
      </c>
      <c r="G75" s="37"/>
      <c r="H75" s="74" t="s">
        <v>183</v>
      </c>
      <c r="I75" s="74" t="s">
        <v>184</v>
      </c>
      <c r="J75" s="67"/>
    </row>
    <row r="76" spans="2:10">
      <c r="B76" s="65"/>
      <c r="C76" s="75"/>
      <c r="D76" s="73"/>
      <c r="E76" s="73"/>
      <c r="F76" s="73"/>
      <c r="G76" s="37"/>
      <c r="H76" s="76">
        <f>IFERROR(F76/D76,0)</f>
        <v>0</v>
      </c>
      <c r="I76" s="76">
        <f>E76*F76</f>
        <v>0</v>
      </c>
      <c r="J76" s="67"/>
    </row>
    <row r="77" spans="2:10">
      <c r="B77" s="65"/>
      <c r="C77" s="75"/>
      <c r="D77" s="73"/>
      <c r="E77" s="73"/>
      <c r="F77" s="73"/>
      <c r="G77" s="37"/>
      <c r="H77" s="76">
        <f t="shared" ref="H77:H80" si="8">IFERROR(F77/D77,0)</f>
        <v>0</v>
      </c>
      <c r="I77" s="76">
        <f t="shared" ref="I77:I80" si="9">E77*F77</f>
        <v>0</v>
      </c>
      <c r="J77" s="67"/>
    </row>
    <row r="78" spans="2:10">
      <c r="B78" s="65"/>
      <c r="C78" s="75"/>
      <c r="D78" s="73"/>
      <c r="E78" s="73"/>
      <c r="F78" s="73"/>
      <c r="G78" s="37"/>
      <c r="H78" s="76">
        <f t="shared" si="8"/>
        <v>0</v>
      </c>
      <c r="I78" s="76">
        <f t="shared" si="9"/>
        <v>0</v>
      </c>
      <c r="J78" s="67"/>
    </row>
    <row r="79" spans="2:10">
      <c r="B79" s="65"/>
      <c r="C79" s="75"/>
      <c r="D79" s="73"/>
      <c r="E79" s="73"/>
      <c r="F79" s="73"/>
      <c r="G79" s="37"/>
      <c r="H79" s="76">
        <f t="shared" si="8"/>
        <v>0</v>
      </c>
      <c r="I79" s="76">
        <f t="shared" si="9"/>
        <v>0</v>
      </c>
      <c r="J79" s="67"/>
    </row>
    <row r="80" spans="2:10">
      <c r="B80" s="65"/>
      <c r="C80" s="75"/>
      <c r="D80" s="73"/>
      <c r="E80" s="73"/>
      <c r="F80" s="73"/>
      <c r="G80" s="37"/>
      <c r="H80" s="76">
        <f t="shared" si="8"/>
        <v>0</v>
      </c>
      <c r="I80" s="76">
        <f t="shared" si="9"/>
        <v>0</v>
      </c>
      <c r="J80" s="67"/>
    </row>
    <row r="81" spans="2:10">
      <c r="B81" s="65"/>
      <c r="C81" s="37"/>
      <c r="D81" s="37"/>
      <c r="E81" s="37"/>
      <c r="F81" s="37"/>
      <c r="G81" s="37"/>
      <c r="H81" s="37"/>
      <c r="I81" s="37"/>
      <c r="J81" s="67"/>
    </row>
    <row r="82" spans="2:10">
      <c r="B82" s="65"/>
      <c r="C82" s="37"/>
      <c r="D82" s="74" t="s">
        <v>186</v>
      </c>
      <c r="E82" s="74" t="s">
        <v>181</v>
      </c>
      <c r="F82" s="37"/>
      <c r="G82" s="37"/>
      <c r="H82" s="37"/>
      <c r="I82" s="37"/>
      <c r="J82" s="67"/>
    </row>
    <row r="83" spans="2:10">
      <c r="B83" s="65"/>
      <c r="C83" s="71" t="s">
        <v>187</v>
      </c>
      <c r="D83" s="60">
        <f>IFERROR(1/(E72+H76+H77+H78+H79+H80+E73),0)</f>
        <v>5.8823529411764701</v>
      </c>
      <c r="E83" s="76">
        <f>IFERROR(SUM(I76:I80),0)</f>
        <v>0</v>
      </c>
      <c r="F83" s="37"/>
      <c r="G83" s="37"/>
      <c r="H83" s="37"/>
      <c r="I83" s="37"/>
      <c r="J83" s="67"/>
    </row>
    <row r="84" spans="2:10">
      <c r="B84" s="68"/>
      <c r="C84" s="69"/>
      <c r="D84" s="69"/>
      <c r="E84" s="69"/>
      <c r="F84" s="69"/>
      <c r="G84" s="69"/>
      <c r="H84" s="69"/>
      <c r="I84" s="69"/>
      <c r="J84" s="70"/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B2:J84"/>
  <sheetViews>
    <sheetView workbookViewId="0">
      <selection activeCell="G45" sqref="G45"/>
    </sheetView>
  </sheetViews>
  <sheetFormatPr defaultColWidth="8.77734375" defaultRowHeight="14.4"/>
  <cols>
    <col min="3" max="3" width="25.6640625" customWidth="1"/>
    <col min="4" max="6" width="17.6640625" customWidth="1"/>
    <col min="7" max="7" width="5.6640625" customWidth="1"/>
    <col min="8" max="9" width="17.6640625" customWidth="1"/>
  </cols>
  <sheetData>
    <row r="2" spans="2:10">
      <c r="B2" s="62"/>
      <c r="C2" s="63"/>
      <c r="D2" s="63"/>
      <c r="E2" s="63"/>
      <c r="F2" s="63"/>
      <c r="G2" s="63"/>
      <c r="H2" s="63"/>
      <c r="I2" s="63"/>
      <c r="J2" s="64"/>
    </row>
    <row r="3" spans="2:10" ht="18">
      <c r="B3" s="65"/>
      <c r="C3" s="66" t="s">
        <v>193</v>
      </c>
      <c r="D3" s="37"/>
      <c r="E3" s="37"/>
      <c r="F3" s="37"/>
      <c r="G3" s="37"/>
      <c r="H3" s="37"/>
      <c r="I3" s="37"/>
      <c r="J3" s="67"/>
    </row>
    <row r="4" spans="2:10">
      <c r="B4" s="68"/>
      <c r="C4" s="69"/>
      <c r="D4" s="69"/>
      <c r="E4" s="69"/>
      <c r="F4" s="69"/>
      <c r="G4" s="69"/>
      <c r="H4" s="69"/>
      <c r="I4" s="69"/>
      <c r="J4" s="70"/>
    </row>
    <row r="5" spans="2:10">
      <c r="B5" s="65"/>
      <c r="C5" s="37"/>
      <c r="D5" s="37"/>
      <c r="E5" s="37"/>
      <c r="F5" s="37"/>
      <c r="G5" s="37"/>
      <c r="H5" s="37"/>
      <c r="I5" s="37"/>
      <c r="J5" s="67"/>
    </row>
    <row r="6" spans="2:10">
      <c r="B6" s="65"/>
      <c r="C6" s="71" t="s">
        <v>194</v>
      </c>
      <c r="D6" s="72" t="s">
        <v>163</v>
      </c>
      <c r="E6" s="37"/>
      <c r="F6" s="37"/>
      <c r="G6" s="37"/>
      <c r="H6" s="37"/>
      <c r="I6" s="37"/>
      <c r="J6" s="67"/>
    </row>
    <row r="7" spans="2:10">
      <c r="B7" s="65"/>
      <c r="C7" s="37"/>
      <c r="D7" s="37"/>
      <c r="E7" s="37"/>
      <c r="F7" s="37"/>
      <c r="G7" s="37"/>
      <c r="H7" s="37"/>
      <c r="I7" s="37"/>
      <c r="J7" s="67"/>
    </row>
    <row r="8" spans="2:10">
      <c r="B8" s="65"/>
      <c r="C8" s="37" t="s">
        <v>176</v>
      </c>
      <c r="D8" s="37" t="s">
        <v>177</v>
      </c>
      <c r="E8" s="73">
        <v>0.16</v>
      </c>
      <c r="F8" s="37"/>
      <c r="G8" s="37"/>
      <c r="H8" s="37"/>
      <c r="I8" s="37"/>
      <c r="J8" s="67"/>
    </row>
    <row r="9" spans="2:10">
      <c r="B9" s="65"/>
      <c r="C9" s="37"/>
      <c r="D9" s="37" t="s">
        <v>178</v>
      </c>
      <c r="E9" s="73">
        <v>5.6000000000000001E-2</v>
      </c>
      <c r="F9" s="37"/>
      <c r="G9" s="37"/>
      <c r="H9" s="37"/>
      <c r="I9" s="37"/>
      <c r="J9" s="67"/>
    </row>
    <row r="10" spans="2:10">
      <c r="B10" s="65"/>
      <c r="C10" s="37"/>
      <c r="D10" s="37"/>
      <c r="E10" s="37"/>
      <c r="F10" s="37"/>
      <c r="G10" s="37"/>
      <c r="H10" s="37"/>
      <c r="I10" s="37"/>
      <c r="J10" s="67"/>
    </row>
    <row r="11" spans="2:10">
      <c r="B11" s="65"/>
      <c r="C11" s="37" t="s">
        <v>179</v>
      </c>
      <c r="D11" s="74" t="s">
        <v>180</v>
      </c>
      <c r="E11" s="74" t="s">
        <v>181</v>
      </c>
      <c r="F11" s="74" t="s">
        <v>182</v>
      </c>
      <c r="G11" s="37"/>
      <c r="H11" s="74" t="s">
        <v>183</v>
      </c>
      <c r="I11" s="74" t="s">
        <v>184</v>
      </c>
      <c r="J11" s="67"/>
    </row>
    <row r="12" spans="2:10">
      <c r="B12" s="65"/>
      <c r="C12" s="75" t="s">
        <v>195</v>
      </c>
      <c r="D12" s="73">
        <v>3.5000000000000003E-2</v>
      </c>
      <c r="E12" s="73">
        <v>16</v>
      </c>
      <c r="F12" s="73">
        <v>0.05</v>
      </c>
      <c r="G12" s="37"/>
      <c r="H12" s="76">
        <f>IFERROR(F12/D12,0)</f>
        <v>1.4285714285714286</v>
      </c>
      <c r="I12" s="76">
        <f>E12*F12</f>
        <v>0.8</v>
      </c>
      <c r="J12" s="67"/>
    </row>
    <row r="13" spans="2:10">
      <c r="B13" s="65"/>
      <c r="C13" s="75" t="s">
        <v>189</v>
      </c>
      <c r="D13" s="73">
        <v>1.4419999999999999</v>
      </c>
      <c r="E13" s="73">
        <v>2400</v>
      </c>
      <c r="F13" s="73">
        <v>0.2</v>
      </c>
      <c r="G13" s="37"/>
      <c r="H13" s="76">
        <f t="shared" ref="H13:H16" si="0">IFERROR(F13/D13,0)</f>
        <v>0.13869625520110959</v>
      </c>
      <c r="I13" s="76">
        <f t="shared" ref="I13:I16" si="1">E13*F13</f>
        <v>480</v>
      </c>
      <c r="J13" s="67"/>
    </row>
    <row r="14" spans="2:10">
      <c r="B14" s="65"/>
      <c r="C14" s="75"/>
      <c r="D14" s="73"/>
      <c r="E14" s="73"/>
      <c r="F14" s="73"/>
      <c r="G14" s="37"/>
      <c r="H14" s="76">
        <f t="shared" si="0"/>
        <v>0</v>
      </c>
      <c r="I14" s="76">
        <f t="shared" si="1"/>
        <v>0</v>
      </c>
      <c r="J14" s="67"/>
    </row>
    <row r="15" spans="2:10">
      <c r="B15" s="65"/>
      <c r="C15" s="75"/>
      <c r="D15" s="73"/>
      <c r="E15" s="73"/>
      <c r="F15" s="73"/>
      <c r="G15" s="37"/>
      <c r="H15" s="76">
        <f t="shared" si="0"/>
        <v>0</v>
      </c>
      <c r="I15" s="76">
        <f t="shared" si="1"/>
        <v>0</v>
      </c>
      <c r="J15" s="67"/>
    </row>
    <row r="16" spans="2:10">
      <c r="B16" s="65"/>
      <c r="C16" s="75"/>
      <c r="D16" s="73"/>
      <c r="E16" s="73"/>
      <c r="F16" s="73"/>
      <c r="G16" s="37"/>
      <c r="H16" s="76">
        <f t="shared" si="0"/>
        <v>0</v>
      </c>
      <c r="I16" s="76">
        <f t="shared" si="1"/>
        <v>0</v>
      </c>
      <c r="J16" s="67"/>
    </row>
    <row r="17" spans="2:10">
      <c r="B17" s="65"/>
      <c r="C17" s="37"/>
      <c r="D17" s="37"/>
      <c r="E17" s="37"/>
      <c r="F17" s="37"/>
      <c r="G17" s="37"/>
      <c r="H17" s="37"/>
      <c r="I17" s="37"/>
      <c r="J17" s="67"/>
    </row>
    <row r="18" spans="2:10">
      <c r="B18" s="65"/>
      <c r="C18" s="37"/>
      <c r="D18" s="74" t="s">
        <v>186</v>
      </c>
      <c r="E18" s="74" t="s">
        <v>184</v>
      </c>
      <c r="F18" s="37"/>
      <c r="G18" s="37"/>
      <c r="H18" s="37"/>
      <c r="I18" s="37"/>
      <c r="J18" s="67"/>
    </row>
    <row r="19" spans="2:10">
      <c r="B19" s="65"/>
      <c r="C19" s="71" t="s">
        <v>187</v>
      </c>
      <c r="D19" s="60">
        <f>IFERROR(1/(E8+H12+H13+H14+H15+H16+E9),0)</f>
        <v>0.56076830702414804</v>
      </c>
      <c r="E19" s="76">
        <f>IFERROR(SUM(I12:I16),0)</f>
        <v>480.8</v>
      </c>
      <c r="F19" s="37"/>
      <c r="G19" s="37"/>
      <c r="H19" s="37"/>
      <c r="I19" s="37"/>
      <c r="J19" s="67"/>
    </row>
    <row r="20" spans="2:10">
      <c r="B20" s="68"/>
      <c r="C20" s="69"/>
      <c r="D20" s="69"/>
      <c r="E20" s="69"/>
      <c r="F20" s="69"/>
      <c r="G20" s="69"/>
      <c r="H20" s="69"/>
      <c r="I20" s="69"/>
      <c r="J20" s="70"/>
    </row>
    <row r="21" spans="2:10">
      <c r="B21" s="65"/>
      <c r="C21" s="37"/>
      <c r="D21" s="37"/>
      <c r="E21" s="37"/>
      <c r="F21" s="37"/>
      <c r="G21" s="37"/>
      <c r="H21" s="37"/>
      <c r="I21" s="37"/>
      <c r="J21" s="67"/>
    </row>
    <row r="22" spans="2:10">
      <c r="B22" s="65"/>
      <c r="C22" s="71" t="s">
        <v>194</v>
      </c>
      <c r="D22" s="72"/>
      <c r="E22" s="37"/>
      <c r="F22" s="37"/>
      <c r="G22" s="37"/>
      <c r="H22" s="37"/>
      <c r="I22" s="37"/>
      <c r="J22" s="67"/>
    </row>
    <row r="23" spans="2:10">
      <c r="B23" s="65"/>
      <c r="C23" s="37"/>
      <c r="D23" s="37"/>
      <c r="E23" s="37"/>
      <c r="F23" s="37"/>
      <c r="G23" s="37"/>
      <c r="H23" s="37"/>
      <c r="I23" s="37"/>
      <c r="J23" s="67"/>
    </row>
    <row r="24" spans="2:10">
      <c r="B24" s="65"/>
      <c r="C24" s="37" t="s">
        <v>176</v>
      </c>
      <c r="D24" s="37" t="s">
        <v>177</v>
      </c>
      <c r="E24" s="73"/>
      <c r="F24" s="37"/>
      <c r="G24" s="37"/>
      <c r="H24" s="37"/>
      <c r="I24" s="37"/>
      <c r="J24" s="67"/>
    </row>
    <row r="25" spans="2:10">
      <c r="B25" s="65"/>
      <c r="C25" s="37"/>
      <c r="D25" s="37" t="s">
        <v>178</v>
      </c>
      <c r="E25" s="73"/>
      <c r="F25" s="37"/>
      <c r="G25" s="37"/>
      <c r="H25" s="37"/>
      <c r="I25" s="37"/>
      <c r="J25" s="67"/>
    </row>
    <row r="26" spans="2:10">
      <c r="B26" s="65"/>
      <c r="C26" s="37"/>
      <c r="D26" s="37"/>
      <c r="E26" s="37"/>
      <c r="F26" s="37"/>
      <c r="G26" s="37"/>
      <c r="H26" s="37"/>
      <c r="I26" s="37"/>
      <c r="J26" s="67"/>
    </row>
    <row r="27" spans="2:10">
      <c r="B27" s="65"/>
      <c r="C27" s="37" t="s">
        <v>179</v>
      </c>
      <c r="D27" s="74" t="s">
        <v>180</v>
      </c>
      <c r="E27" s="74" t="s">
        <v>181</v>
      </c>
      <c r="F27" s="74" t="s">
        <v>182</v>
      </c>
      <c r="G27" s="37"/>
      <c r="H27" s="74" t="s">
        <v>183</v>
      </c>
      <c r="I27" s="74" t="s">
        <v>184</v>
      </c>
      <c r="J27" s="67"/>
    </row>
    <row r="28" spans="2:10">
      <c r="B28" s="65"/>
      <c r="C28" s="75"/>
      <c r="D28" s="73"/>
      <c r="E28" s="73"/>
      <c r="F28" s="73"/>
      <c r="G28" s="37"/>
      <c r="H28" s="76">
        <f>IFERROR(F28/D28,0)</f>
        <v>0</v>
      </c>
      <c r="I28" s="76">
        <f>E28*F28</f>
        <v>0</v>
      </c>
      <c r="J28" s="67"/>
    </row>
    <row r="29" spans="2:10">
      <c r="B29" s="65"/>
      <c r="C29" s="75"/>
      <c r="D29" s="73"/>
      <c r="E29" s="73"/>
      <c r="F29" s="73"/>
      <c r="G29" s="37"/>
      <c r="H29" s="76">
        <f t="shared" ref="H29:H32" si="2">IFERROR(F29/D29,0)</f>
        <v>0</v>
      </c>
      <c r="I29" s="76">
        <f t="shared" ref="I29:I32" si="3">E29*F29</f>
        <v>0</v>
      </c>
      <c r="J29" s="67"/>
    </row>
    <row r="30" spans="2:10">
      <c r="B30" s="65"/>
      <c r="C30" s="75"/>
      <c r="D30" s="73"/>
      <c r="E30" s="73"/>
      <c r="F30" s="73"/>
      <c r="G30" s="37"/>
      <c r="H30" s="76">
        <f t="shared" si="2"/>
        <v>0</v>
      </c>
      <c r="I30" s="76">
        <f t="shared" si="3"/>
        <v>0</v>
      </c>
      <c r="J30" s="67"/>
    </row>
    <row r="31" spans="2:10">
      <c r="B31" s="65"/>
      <c r="C31" s="75"/>
      <c r="D31" s="73"/>
      <c r="E31" s="73"/>
      <c r="F31" s="73"/>
      <c r="G31" s="37"/>
      <c r="H31" s="76">
        <f t="shared" si="2"/>
        <v>0</v>
      </c>
      <c r="I31" s="76">
        <f t="shared" si="3"/>
        <v>0</v>
      </c>
      <c r="J31" s="67"/>
    </row>
    <row r="32" spans="2:10">
      <c r="B32" s="65"/>
      <c r="C32" s="75"/>
      <c r="D32" s="73"/>
      <c r="E32" s="73"/>
      <c r="F32" s="73"/>
      <c r="G32" s="37"/>
      <c r="H32" s="76">
        <f t="shared" si="2"/>
        <v>0</v>
      </c>
      <c r="I32" s="76">
        <f t="shared" si="3"/>
        <v>0</v>
      </c>
      <c r="J32" s="67"/>
    </row>
    <row r="33" spans="2:10">
      <c r="B33" s="65"/>
      <c r="C33" s="37"/>
      <c r="D33" s="37"/>
      <c r="E33" s="37"/>
      <c r="F33" s="37"/>
      <c r="G33" s="37"/>
      <c r="H33" s="37"/>
      <c r="I33" s="37"/>
      <c r="J33" s="67"/>
    </row>
    <row r="34" spans="2:10">
      <c r="B34" s="65"/>
      <c r="C34" s="37"/>
      <c r="D34" s="74" t="s">
        <v>186</v>
      </c>
      <c r="E34" s="74" t="s">
        <v>181</v>
      </c>
      <c r="F34" s="37"/>
      <c r="G34" s="37"/>
      <c r="H34" s="37"/>
      <c r="I34" s="37"/>
      <c r="J34" s="67"/>
    </row>
    <row r="35" spans="2:10">
      <c r="B35" s="65"/>
      <c r="C35" s="71" t="s">
        <v>187</v>
      </c>
      <c r="D35" s="60">
        <f>IFERROR(1/(E24+H28+H29+H30+H31+H32+E25),0)</f>
        <v>0</v>
      </c>
      <c r="E35" s="76">
        <f>IFERROR(SUM(I28:I32),0)</f>
        <v>0</v>
      </c>
      <c r="F35" s="37"/>
      <c r="G35" s="37"/>
      <c r="H35" s="37"/>
      <c r="I35" s="37"/>
      <c r="J35" s="67"/>
    </row>
    <row r="36" spans="2:10">
      <c r="B36" s="68"/>
      <c r="C36" s="69"/>
      <c r="D36" s="69"/>
      <c r="E36" s="69"/>
      <c r="F36" s="69"/>
      <c r="G36" s="69"/>
      <c r="H36" s="69"/>
      <c r="I36" s="69"/>
      <c r="J36" s="70"/>
    </row>
    <row r="37" spans="2:10">
      <c r="B37" s="65"/>
      <c r="C37" s="37"/>
      <c r="D37" s="37"/>
      <c r="E37" s="37"/>
      <c r="F37" s="37"/>
      <c r="G37" s="37"/>
      <c r="H37" s="37"/>
      <c r="I37" s="37"/>
      <c r="J37" s="67"/>
    </row>
    <row r="38" spans="2:10">
      <c r="B38" s="65"/>
      <c r="C38" s="71" t="s">
        <v>194</v>
      </c>
      <c r="D38" s="72"/>
      <c r="E38" s="37"/>
      <c r="F38" s="37"/>
      <c r="G38" s="37"/>
      <c r="H38" s="37"/>
      <c r="I38" s="37"/>
      <c r="J38" s="67"/>
    </row>
    <row r="39" spans="2:10">
      <c r="B39" s="65"/>
      <c r="C39" s="37"/>
      <c r="D39" s="37"/>
      <c r="E39" s="37"/>
      <c r="F39" s="37"/>
      <c r="G39" s="37"/>
      <c r="H39" s="37"/>
      <c r="I39" s="37"/>
      <c r="J39" s="67"/>
    </row>
    <row r="40" spans="2:10">
      <c r="B40" s="65"/>
      <c r="C40" s="37" t="s">
        <v>176</v>
      </c>
      <c r="D40" s="37" t="s">
        <v>177</v>
      </c>
      <c r="E40" s="73"/>
      <c r="F40" s="37"/>
      <c r="G40" s="37"/>
      <c r="H40" s="37"/>
      <c r="I40" s="37"/>
      <c r="J40" s="67"/>
    </row>
    <row r="41" spans="2:10">
      <c r="B41" s="65"/>
      <c r="C41" s="37"/>
      <c r="D41" s="37" t="s">
        <v>178</v>
      </c>
      <c r="E41" s="73"/>
      <c r="F41" s="37"/>
      <c r="G41" s="37"/>
      <c r="H41" s="37"/>
      <c r="I41" s="37"/>
      <c r="J41" s="67"/>
    </row>
    <row r="42" spans="2:10">
      <c r="B42" s="65"/>
      <c r="C42" s="37"/>
      <c r="D42" s="37"/>
      <c r="E42" s="37"/>
      <c r="F42" s="37"/>
      <c r="G42" s="37"/>
      <c r="H42" s="37"/>
      <c r="I42" s="37"/>
      <c r="J42" s="67"/>
    </row>
    <row r="43" spans="2:10">
      <c r="B43" s="65"/>
      <c r="C43" s="37" t="s">
        <v>179</v>
      </c>
      <c r="D43" s="74" t="s">
        <v>180</v>
      </c>
      <c r="E43" s="74" t="s">
        <v>181</v>
      </c>
      <c r="F43" s="74" t="s">
        <v>182</v>
      </c>
      <c r="G43" s="37"/>
      <c r="H43" s="74" t="s">
        <v>183</v>
      </c>
      <c r="I43" s="74" t="s">
        <v>184</v>
      </c>
      <c r="J43" s="67"/>
    </row>
    <row r="44" spans="2:10">
      <c r="B44" s="65"/>
      <c r="C44" s="75"/>
      <c r="D44" s="73"/>
      <c r="E44" s="73"/>
      <c r="F44" s="73"/>
      <c r="G44" s="37"/>
      <c r="H44" s="76">
        <f>IFERROR(F44/D44,0)</f>
        <v>0</v>
      </c>
      <c r="I44" s="76">
        <f>E44*F44</f>
        <v>0</v>
      </c>
      <c r="J44" s="67"/>
    </row>
    <row r="45" spans="2:10">
      <c r="B45" s="65"/>
      <c r="C45" s="75"/>
      <c r="D45" s="73"/>
      <c r="E45" s="73"/>
      <c r="F45" s="73"/>
      <c r="G45" s="37"/>
      <c r="H45" s="76">
        <f t="shared" ref="H45:H48" si="4">IFERROR(F45/D45,0)</f>
        <v>0</v>
      </c>
      <c r="I45" s="76">
        <f t="shared" ref="I45:I48" si="5">E45*F45</f>
        <v>0</v>
      </c>
      <c r="J45" s="67"/>
    </row>
    <row r="46" spans="2:10">
      <c r="B46" s="65"/>
      <c r="C46" s="75"/>
      <c r="D46" s="73"/>
      <c r="E46" s="73"/>
      <c r="F46" s="73"/>
      <c r="G46" s="37"/>
      <c r="H46" s="76">
        <f t="shared" si="4"/>
        <v>0</v>
      </c>
      <c r="I46" s="76">
        <f t="shared" si="5"/>
        <v>0</v>
      </c>
      <c r="J46" s="67"/>
    </row>
    <row r="47" spans="2:10">
      <c r="B47" s="65"/>
      <c r="C47" s="75"/>
      <c r="D47" s="73"/>
      <c r="E47" s="73"/>
      <c r="F47" s="73"/>
      <c r="G47" s="37"/>
      <c r="H47" s="76">
        <f t="shared" si="4"/>
        <v>0</v>
      </c>
      <c r="I47" s="76">
        <f t="shared" si="5"/>
        <v>0</v>
      </c>
      <c r="J47" s="67"/>
    </row>
    <row r="48" spans="2:10">
      <c r="B48" s="65"/>
      <c r="C48" s="75"/>
      <c r="D48" s="73"/>
      <c r="E48" s="73"/>
      <c r="F48" s="73"/>
      <c r="G48" s="37"/>
      <c r="H48" s="76">
        <f t="shared" si="4"/>
        <v>0</v>
      </c>
      <c r="I48" s="76">
        <f t="shared" si="5"/>
        <v>0</v>
      </c>
      <c r="J48" s="67"/>
    </row>
    <row r="49" spans="2:10">
      <c r="B49" s="65"/>
      <c r="C49" s="37"/>
      <c r="D49" s="37"/>
      <c r="E49" s="37"/>
      <c r="F49" s="37"/>
      <c r="G49" s="37"/>
      <c r="H49" s="37"/>
      <c r="I49" s="37"/>
      <c r="J49" s="67"/>
    </row>
    <row r="50" spans="2:10">
      <c r="B50" s="65"/>
      <c r="C50" s="37"/>
      <c r="D50" s="74" t="s">
        <v>186</v>
      </c>
      <c r="E50" s="74" t="s">
        <v>181</v>
      </c>
      <c r="F50" s="37"/>
      <c r="G50" s="37"/>
      <c r="H50" s="37"/>
      <c r="I50" s="37"/>
      <c r="J50" s="67"/>
    </row>
    <row r="51" spans="2:10">
      <c r="B51" s="65"/>
      <c r="C51" s="71" t="s">
        <v>187</v>
      </c>
      <c r="D51" s="60">
        <f>IFERROR(1/(E40+H44+H45+H46+H47+H48+E41),0)</f>
        <v>0</v>
      </c>
      <c r="E51" s="76">
        <f>IFERROR(SUM(I44:I48),0)</f>
        <v>0</v>
      </c>
      <c r="F51" s="37"/>
      <c r="G51" s="37"/>
      <c r="H51" s="37"/>
      <c r="I51" s="37"/>
      <c r="J51" s="67"/>
    </row>
    <row r="52" spans="2:10">
      <c r="B52" s="68"/>
      <c r="C52" s="69"/>
      <c r="D52" s="69"/>
      <c r="E52" s="69"/>
      <c r="F52" s="69"/>
      <c r="G52" s="69"/>
      <c r="H52" s="69"/>
      <c r="I52" s="69"/>
      <c r="J52" s="70"/>
    </row>
    <row r="53" spans="2:10">
      <c r="B53" s="65"/>
      <c r="C53" s="37"/>
      <c r="D53" s="37"/>
      <c r="E53" s="37"/>
      <c r="F53" s="37"/>
      <c r="G53" s="37"/>
      <c r="H53" s="37"/>
      <c r="I53" s="37"/>
      <c r="J53" s="67"/>
    </row>
    <row r="54" spans="2:10">
      <c r="B54" s="65"/>
      <c r="C54" s="71" t="s">
        <v>194</v>
      </c>
      <c r="D54" s="72"/>
      <c r="E54" s="37"/>
      <c r="F54" s="37"/>
      <c r="G54" s="37"/>
      <c r="H54" s="37"/>
      <c r="I54" s="37"/>
      <c r="J54" s="67"/>
    </row>
    <row r="55" spans="2:10">
      <c r="B55" s="65"/>
      <c r="C55" s="37"/>
      <c r="D55" s="37"/>
      <c r="E55" s="37"/>
      <c r="F55" s="37"/>
      <c r="G55" s="37"/>
      <c r="H55" s="37"/>
      <c r="I55" s="37"/>
      <c r="J55" s="67"/>
    </row>
    <row r="56" spans="2:10">
      <c r="B56" s="65"/>
      <c r="C56" s="37" t="s">
        <v>176</v>
      </c>
      <c r="D56" s="37" t="s">
        <v>177</v>
      </c>
      <c r="E56" s="73"/>
      <c r="F56" s="37"/>
      <c r="G56" s="37"/>
      <c r="H56" s="37"/>
      <c r="I56" s="37"/>
      <c r="J56" s="67"/>
    </row>
    <row r="57" spans="2:10">
      <c r="B57" s="65"/>
      <c r="C57" s="37"/>
      <c r="D57" s="37" t="s">
        <v>178</v>
      </c>
      <c r="E57" s="73"/>
      <c r="F57" s="37"/>
      <c r="G57" s="37"/>
      <c r="H57" s="37"/>
      <c r="I57" s="37"/>
      <c r="J57" s="67"/>
    </row>
    <row r="58" spans="2:10">
      <c r="B58" s="65"/>
      <c r="C58" s="37"/>
      <c r="D58" s="37"/>
      <c r="E58" s="37"/>
      <c r="F58" s="37"/>
      <c r="G58" s="37"/>
      <c r="H58" s="37"/>
      <c r="I58" s="37"/>
      <c r="J58" s="67"/>
    </row>
    <row r="59" spans="2:10">
      <c r="B59" s="65"/>
      <c r="C59" s="37" t="s">
        <v>179</v>
      </c>
      <c r="D59" s="74" t="s">
        <v>180</v>
      </c>
      <c r="E59" s="74" t="s">
        <v>181</v>
      </c>
      <c r="F59" s="74" t="s">
        <v>182</v>
      </c>
      <c r="G59" s="37"/>
      <c r="H59" s="74" t="s">
        <v>183</v>
      </c>
      <c r="I59" s="74" t="s">
        <v>184</v>
      </c>
      <c r="J59" s="67"/>
    </row>
    <row r="60" spans="2:10">
      <c r="B60" s="65"/>
      <c r="C60" s="75"/>
      <c r="D60" s="73"/>
      <c r="E60" s="73"/>
      <c r="F60" s="73"/>
      <c r="G60" s="37"/>
      <c r="H60" s="76">
        <f>IFERROR(F60/D60,0)</f>
        <v>0</v>
      </c>
      <c r="I60" s="76">
        <f>E60*F60</f>
        <v>0</v>
      </c>
      <c r="J60" s="67"/>
    </row>
    <row r="61" spans="2:10">
      <c r="B61" s="65"/>
      <c r="C61" s="75"/>
      <c r="D61" s="73"/>
      <c r="E61" s="73"/>
      <c r="F61" s="73"/>
      <c r="G61" s="37"/>
      <c r="H61" s="76">
        <f t="shared" ref="H61:H64" si="6">IFERROR(F61/D61,0)</f>
        <v>0</v>
      </c>
      <c r="I61" s="76">
        <f t="shared" ref="I61:I64" si="7">E61*F61</f>
        <v>0</v>
      </c>
      <c r="J61" s="67"/>
    </row>
    <row r="62" spans="2:10">
      <c r="B62" s="65"/>
      <c r="C62" s="75"/>
      <c r="D62" s="73"/>
      <c r="E62" s="73"/>
      <c r="F62" s="73"/>
      <c r="G62" s="37"/>
      <c r="H62" s="76">
        <f t="shared" si="6"/>
        <v>0</v>
      </c>
      <c r="I62" s="76">
        <f t="shared" si="7"/>
        <v>0</v>
      </c>
      <c r="J62" s="67"/>
    </row>
    <row r="63" spans="2:10">
      <c r="B63" s="65"/>
      <c r="C63" s="75"/>
      <c r="D63" s="73"/>
      <c r="E63" s="73"/>
      <c r="F63" s="73"/>
      <c r="G63" s="37"/>
      <c r="H63" s="76">
        <f t="shared" si="6"/>
        <v>0</v>
      </c>
      <c r="I63" s="76">
        <f t="shared" si="7"/>
        <v>0</v>
      </c>
      <c r="J63" s="67"/>
    </row>
    <row r="64" spans="2:10">
      <c r="B64" s="65"/>
      <c r="C64" s="75"/>
      <c r="D64" s="73"/>
      <c r="E64" s="73"/>
      <c r="F64" s="73"/>
      <c r="G64" s="37"/>
      <c r="H64" s="76">
        <f t="shared" si="6"/>
        <v>0</v>
      </c>
      <c r="I64" s="76">
        <f t="shared" si="7"/>
        <v>0</v>
      </c>
      <c r="J64" s="67"/>
    </row>
    <row r="65" spans="2:10">
      <c r="B65" s="65"/>
      <c r="C65" s="37"/>
      <c r="D65" s="37"/>
      <c r="E65" s="37"/>
      <c r="F65" s="37"/>
      <c r="G65" s="37"/>
      <c r="H65" s="37"/>
      <c r="I65" s="37"/>
      <c r="J65" s="67"/>
    </row>
    <row r="66" spans="2:10">
      <c r="B66" s="65"/>
      <c r="C66" s="37"/>
      <c r="D66" s="74" t="s">
        <v>186</v>
      </c>
      <c r="E66" s="74" t="s">
        <v>181</v>
      </c>
      <c r="F66" s="37"/>
      <c r="G66" s="37"/>
      <c r="H66" s="37"/>
      <c r="I66" s="37"/>
      <c r="J66" s="67"/>
    </row>
    <row r="67" spans="2:10">
      <c r="B67" s="65"/>
      <c r="C67" s="71" t="s">
        <v>187</v>
      </c>
      <c r="D67" s="60">
        <f>IFERROR(1/(E56+H60+H61+H62+H63+H64+E57),0)</f>
        <v>0</v>
      </c>
      <c r="E67" s="76">
        <f>IFERROR(SUM(I60:I64),0)</f>
        <v>0</v>
      </c>
      <c r="F67" s="37"/>
      <c r="G67" s="37"/>
      <c r="H67" s="37"/>
      <c r="I67" s="37"/>
      <c r="J67" s="67"/>
    </row>
    <row r="68" spans="2:10">
      <c r="B68" s="68"/>
      <c r="C68" s="69"/>
      <c r="D68" s="69"/>
      <c r="E68" s="69"/>
      <c r="F68" s="69"/>
      <c r="G68" s="69"/>
      <c r="H68" s="69"/>
      <c r="I68" s="69"/>
      <c r="J68" s="70"/>
    </row>
    <row r="69" spans="2:10">
      <c r="B69" s="65"/>
      <c r="C69" s="37"/>
      <c r="D69" s="37"/>
      <c r="E69" s="37"/>
      <c r="F69" s="37"/>
      <c r="G69" s="37"/>
      <c r="H69" s="37"/>
      <c r="I69" s="37"/>
      <c r="J69" s="67"/>
    </row>
    <row r="70" spans="2:10">
      <c r="B70" s="65"/>
      <c r="C70" s="71" t="s">
        <v>194</v>
      </c>
      <c r="D70" s="72"/>
      <c r="E70" s="37"/>
      <c r="F70" s="37"/>
      <c r="G70" s="37"/>
      <c r="H70" s="37"/>
      <c r="I70" s="37"/>
      <c r="J70" s="67"/>
    </row>
    <row r="71" spans="2:10">
      <c r="B71" s="65"/>
      <c r="C71" s="37"/>
      <c r="D71" s="37"/>
      <c r="E71" s="37"/>
      <c r="F71" s="37"/>
      <c r="G71" s="37"/>
      <c r="H71" s="37"/>
      <c r="I71" s="37"/>
      <c r="J71" s="67"/>
    </row>
    <row r="72" spans="2:10">
      <c r="B72" s="65"/>
      <c r="C72" s="37" t="s">
        <v>176</v>
      </c>
      <c r="D72" s="37" t="s">
        <v>177</v>
      </c>
      <c r="E72" s="73"/>
      <c r="F72" s="37"/>
      <c r="G72" s="37"/>
      <c r="H72" s="37"/>
      <c r="I72" s="37"/>
      <c r="J72" s="67"/>
    </row>
    <row r="73" spans="2:10">
      <c r="B73" s="65"/>
      <c r="C73" s="37"/>
      <c r="D73" s="37" t="s">
        <v>178</v>
      </c>
      <c r="E73" s="73"/>
      <c r="F73" s="37"/>
      <c r="G73" s="37"/>
      <c r="H73" s="37"/>
      <c r="I73" s="37"/>
      <c r="J73" s="67"/>
    </row>
    <row r="74" spans="2:10">
      <c r="B74" s="65"/>
      <c r="C74" s="37"/>
      <c r="D74" s="37"/>
      <c r="E74" s="37"/>
      <c r="F74" s="37"/>
      <c r="G74" s="37"/>
      <c r="H74" s="37"/>
      <c r="I74" s="37"/>
      <c r="J74" s="67"/>
    </row>
    <row r="75" spans="2:10">
      <c r="B75" s="65"/>
      <c r="C75" s="37" t="s">
        <v>179</v>
      </c>
      <c r="D75" s="74" t="s">
        <v>180</v>
      </c>
      <c r="E75" s="74" t="s">
        <v>181</v>
      </c>
      <c r="F75" s="74" t="s">
        <v>182</v>
      </c>
      <c r="G75" s="37"/>
      <c r="H75" s="74" t="s">
        <v>183</v>
      </c>
      <c r="I75" s="74" t="s">
        <v>184</v>
      </c>
      <c r="J75" s="67"/>
    </row>
    <row r="76" spans="2:10">
      <c r="B76" s="65"/>
      <c r="C76" s="75"/>
      <c r="D76" s="73"/>
      <c r="E76" s="73"/>
      <c r="F76" s="73"/>
      <c r="G76" s="37"/>
      <c r="H76" s="76">
        <f>IFERROR(F76/D76,0)</f>
        <v>0</v>
      </c>
      <c r="I76" s="76">
        <f>E76*F76</f>
        <v>0</v>
      </c>
      <c r="J76" s="67"/>
    </row>
    <row r="77" spans="2:10">
      <c r="B77" s="65"/>
      <c r="C77" s="75"/>
      <c r="D77" s="73"/>
      <c r="E77" s="73"/>
      <c r="F77" s="73"/>
      <c r="G77" s="37"/>
      <c r="H77" s="76">
        <f t="shared" ref="H77:H80" si="8">IFERROR(F77/D77,0)</f>
        <v>0</v>
      </c>
      <c r="I77" s="76">
        <f t="shared" ref="I77:I80" si="9">E77*F77</f>
        <v>0</v>
      </c>
      <c r="J77" s="67"/>
    </row>
    <row r="78" spans="2:10">
      <c r="B78" s="65"/>
      <c r="C78" s="75"/>
      <c r="D78" s="73"/>
      <c r="E78" s="73"/>
      <c r="F78" s="73"/>
      <c r="G78" s="37"/>
      <c r="H78" s="76">
        <f t="shared" si="8"/>
        <v>0</v>
      </c>
      <c r="I78" s="76">
        <f t="shared" si="9"/>
        <v>0</v>
      </c>
      <c r="J78" s="67"/>
    </row>
    <row r="79" spans="2:10">
      <c r="B79" s="65"/>
      <c r="C79" s="75"/>
      <c r="D79" s="73"/>
      <c r="E79" s="73"/>
      <c r="F79" s="73"/>
      <c r="G79" s="37"/>
      <c r="H79" s="76">
        <f t="shared" si="8"/>
        <v>0</v>
      </c>
      <c r="I79" s="76">
        <f t="shared" si="9"/>
        <v>0</v>
      </c>
      <c r="J79" s="67"/>
    </row>
    <row r="80" spans="2:10">
      <c r="B80" s="65"/>
      <c r="C80" s="75"/>
      <c r="D80" s="73"/>
      <c r="E80" s="73"/>
      <c r="F80" s="73"/>
      <c r="G80" s="37"/>
      <c r="H80" s="76">
        <f t="shared" si="8"/>
        <v>0</v>
      </c>
      <c r="I80" s="76">
        <f t="shared" si="9"/>
        <v>0</v>
      </c>
      <c r="J80" s="67"/>
    </row>
    <row r="81" spans="2:10">
      <c r="B81" s="65"/>
      <c r="C81" s="37"/>
      <c r="D81" s="37"/>
      <c r="E81" s="37"/>
      <c r="F81" s="37"/>
      <c r="G81" s="37"/>
      <c r="H81" s="37"/>
      <c r="I81" s="37"/>
      <c r="J81" s="67"/>
    </row>
    <row r="82" spans="2:10">
      <c r="B82" s="65"/>
      <c r="C82" s="37"/>
      <c r="D82" s="74" t="s">
        <v>186</v>
      </c>
      <c r="E82" s="74" t="s">
        <v>181</v>
      </c>
      <c r="F82" s="37"/>
      <c r="G82" s="37"/>
      <c r="H82" s="37"/>
      <c r="I82" s="37"/>
      <c r="J82" s="67"/>
    </row>
    <row r="83" spans="2:10">
      <c r="B83" s="65"/>
      <c r="C83" s="71" t="s">
        <v>187</v>
      </c>
      <c r="D83" s="60">
        <f>IFERROR(1/(E72+H76+H77+H78+H79+H80+E73),0)</f>
        <v>0</v>
      </c>
      <c r="E83" s="76">
        <f>IFERROR(SUM(I76:I80),0)</f>
        <v>0</v>
      </c>
      <c r="F83" s="37"/>
      <c r="G83" s="37"/>
      <c r="H83" s="37"/>
      <c r="I83" s="37"/>
      <c r="J83" s="67"/>
    </row>
    <row r="84" spans="2:10">
      <c r="B84" s="68"/>
      <c r="C84" s="69"/>
      <c r="D84" s="69"/>
      <c r="E84" s="69"/>
      <c r="F84" s="69"/>
      <c r="G84" s="69"/>
      <c r="H84" s="69"/>
      <c r="I84" s="69"/>
      <c r="J84" s="70"/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H25"/>
  <sheetViews>
    <sheetView workbookViewId="0">
      <selection activeCell="G45" sqref="G45"/>
    </sheetView>
  </sheetViews>
  <sheetFormatPr defaultColWidth="8.77734375" defaultRowHeight="14.4"/>
  <cols>
    <col min="3" max="3" width="25.6640625" customWidth="1"/>
    <col min="4" max="4" width="20" bestFit="1" customWidth="1"/>
    <col min="5" max="7" width="17.6640625" customWidth="1"/>
    <col min="8" max="8" width="17.6640625" style="83" customWidth="1"/>
  </cols>
  <sheetData>
    <row r="2" spans="2:8">
      <c r="B2" s="62"/>
      <c r="C2" s="63"/>
      <c r="D2" s="63"/>
      <c r="E2" s="63"/>
      <c r="F2" s="64"/>
      <c r="G2" s="37"/>
      <c r="H2" s="77"/>
    </row>
    <row r="3" spans="2:8" ht="18">
      <c r="B3" s="65"/>
      <c r="C3" s="66" t="s">
        <v>196</v>
      </c>
      <c r="D3" s="37"/>
      <c r="E3" s="37"/>
      <c r="F3" s="67"/>
      <c r="G3" s="37"/>
      <c r="H3" s="77"/>
    </row>
    <row r="4" spans="2:8">
      <c r="B4" s="68"/>
      <c r="C4" s="69"/>
      <c r="D4" s="69"/>
      <c r="E4" s="69"/>
      <c r="F4" s="70"/>
      <c r="G4" s="37"/>
      <c r="H4" s="77"/>
    </row>
    <row r="5" spans="2:8">
      <c r="B5" s="65"/>
      <c r="C5" s="37"/>
      <c r="D5" s="37"/>
      <c r="E5" s="37"/>
      <c r="F5" s="67"/>
      <c r="G5" s="37"/>
      <c r="H5" s="77"/>
    </row>
    <row r="6" spans="2:8">
      <c r="B6" s="65"/>
      <c r="C6" s="37" t="s">
        <v>197</v>
      </c>
      <c r="D6" s="74" t="s">
        <v>186</v>
      </c>
      <c r="E6" s="74" t="s">
        <v>198</v>
      </c>
      <c r="F6" s="67"/>
      <c r="G6" s="37"/>
      <c r="H6" s="77"/>
    </row>
    <row r="7" spans="2:8">
      <c r="B7" s="65"/>
      <c r="C7" s="75" t="s">
        <v>155</v>
      </c>
      <c r="D7" s="73">
        <v>0</v>
      </c>
      <c r="E7" s="73">
        <v>0</v>
      </c>
      <c r="F7" s="67"/>
      <c r="G7" s="37"/>
      <c r="H7" s="77"/>
    </row>
    <row r="8" spans="2:8">
      <c r="B8" s="65"/>
      <c r="C8" s="75" t="s">
        <v>150</v>
      </c>
      <c r="D8" s="73">
        <v>5.82</v>
      </c>
      <c r="E8" s="73">
        <v>0.83</v>
      </c>
      <c r="F8" s="67"/>
      <c r="G8" s="37"/>
      <c r="H8" s="77"/>
    </row>
    <row r="9" spans="2:8">
      <c r="B9" s="65"/>
      <c r="C9" s="75" t="s">
        <v>199</v>
      </c>
      <c r="D9" s="73">
        <v>4</v>
      </c>
      <c r="E9" s="73">
        <v>0.54</v>
      </c>
      <c r="F9" s="67"/>
      <c r="G9" s="37"/>
      <c r="H9" s="77"/>
    </row>
    <row r="10" spans="2:8">
      <c r="B10" s="65"/>
      <c r="C10" s="75" t="s">
        <v>200</v>
      </c>
      <c r="D10" s="73">
        <v>1.5</v>
      </c>
      <c r="E10" s="73">
        <v>0.27</v>
      </c>
      <c r="F10" s="67"/>
      <c r="G10" s="37"/>
      <c r="H10" s="77"/>
    </row>
    <row r="11" spans="2:8">
      <c r="B11" s="65"/>
      <c r="C11" s="75" t="s">
        <v>201</v>
      </c>
      <c r="D11" s="73">
        <v>3.69</v>
      </c>
      <c r="E11" s="73">
        <v>0.25</v>
      </c>
      <c r="F11" s="67"/>
      <c r="G11" s="37"/>
      <c r="H11" s="77"/>
    </row>
    <row r="12" spans="2:8">
      <c r="B12" s="68"/>
      <c r="C12" s="69"/>
      <c r="D12" s="69"/>
      <c r="E12" s="69"/>
      <c r="F12" s="70"/>
      <c r="G12" s="37"/>
      <c r="H12" s="77"/>
    </row>
    <row r="15" spans="2:8">
      <c r="B15" s="62"/>
      <c r="C15" s="63"/>
      <c r="D15" s="63"/>
      <c r="E15" s="63"/>
      <c r="F15" s="63"/>
      <c r="G15" s="78"/>
      <c r="H15" s="64"/>
    </row>
    <row r="16" spans="2:8" ht="18">
      <c r="B16" s="65"/>
      <c r="C16" s="66" t="s">
        <v>202</v>
      </c>
      <c r="D16" s="37"/>
      <c r="E16" s="37"/>
      <c r="F16" s="37"/>
      <c r="G16" s="77"/>
      <c r="H16" s="67"/>
    </row>
    <row r="17" spans="2:8">
      <c r="B17" s="68"/>
      <c r="C17" s="69"/>
      <c r="D17" s="69"/>
      <c r="E17" s="69"/>
      <c r="F17" s="69"/>
      <c r="G17" s="79"/>
      <c r="H17" s="70"/>
    </row>
    <row r="18" spans="2:8">
      <c r="B18" s="65"/>
      <c r="C18" s="37"/>
      <c r="D18" s="37"/>
      <c r="E18" s="37"/>
      <c r="F18" s="37"/>
      <c r="G18" s="77"/>
      <c r="H18" s="67"/>
    </row>
    <row r="19" spans="2:8">
      <c r="B19" s="65"/>
      <c r="C19" s="37" t="s">
        <v>203</v>
      </c>
      <c r="D19" s="74" t="s">
        <v>204</v>
      </c>
      <c r="E19" s="74" t="s">
        <v>205</v>
      </c>
      <c r="F19" s="74" t="s">
        <v>206</v>
      </c>
      <c r="G19" s="80" t="s">
        <v>207</v>
      </c>
      <c r="H19" s="67"/>
    </row>
    <row r="20" spans="2:8">
      <c r="B20" s="65"/>
      <c r="C20" s="75" t="s">
        <v>147</v>
      </c>
      <c r="D20" s="73">
        <v>0.6</v>
      </c>
      <c r="E20" s="73">
        <v>2</v>
      </c>
      <c r="F20" s="81">
        <f>IFERROR(D20/E20,0)</f>
        <v>0.3</v>
      </c>
      <c r="G20" s="82">
        <f>IF(F20=0,1,0)+IF(C20="Horizontal",IF(AND(F20&gt;0,F20&lt;=0.1),-F20+1,0)+IF(AND(F20&gt;0.1,F20&lt;=0.5),-0.875*F20+0.988,0)+IF(AND(F20&gt;0.5,F20&lt;=1),-0.4*F20+0.75,0)+IF(F20&gt;1,0.35),0)+IF(C20="Vertical",IF(AND(F20&gt;0,F20&lt;=0.1),-0.5*F20+1,0)+IF(AND(F20&gt;0.1,F20&lt;=0.5),-0.5*F20+0.95,0)+IF(AND(F20&gt;0.5,F20&lt;=1),-0.3*F20+0.85,0)+IF(F20&gt;1,0.55),0)</f>
        <v>0.72550000000000003</v>
      </c>
      <c r="H20" s="67"/>
    </row>
    <row r="21" spans="2:8">
      <c r="B21" s="65"/>
      <c r="C21" s="75" t="s">
        <v>154</v>
      </c>
      <c r="D21" s="73"/>
      <c r="E21" s="73"/>
      <c r="F21" s="81">
        <f>IFERROR(D21/E21,0)</f>
        <v>0</v>
      </c>
      <c r="G21" s="82">
        <f t="shared" ref="G21:G24" si="0">IF(F21=0,1,0)+IF(C21="Horizontal",IF(AND(F21&gt;0,F21&lt;=0.1),-F21+1,0)+IF(AND(F21&gt;0.1,F21&lt;=0.5),-0.875*F21+0.988,0)+IF(AND(F21&gt;0.5,F21&lt;=1),-0.4*F21+0.75,0)+IF(F21&gt;1,0.35),0)+IF(C21="Vertical",IF(AND(F21&gt;0,F21&lt;=0.1),-0.5*F21+1,0)+IF(AND(F21&gt;0.1,F21&lt;=0.5),-0.5*F21+0.95,0)+IF(AND(F21&gt;0.5,F21&lt;=1),-0.3*F21+0.85,0)+IF(F21&gt;1,0.55),0)</f>
        <v>1</v>
      </c>
      <c r="H21" s="67"/>
    </row>
    <row r="22" spans="2:8">
      <c r="B22" s="65"/>
      <c r="C22" s="75" t="s">
        <v>154</v>
      </c>
      <c r="D22" s="73"/>
      <c r="E22" s="73"/>
      <c r="F22" s="81">
        <f t="shared" ref="F22:F24" si="1">IFERROR(D22/E22,0)</f>
        <v>0</v>
      </c>
      <c r="G22" s="82">
        <f t="shared" si="0"/>
        <v>1</v>
      </c>
      <c r="H22" s="67"/>
    </row>
    <row r="23" spans="2:8">
      <c r="B23" s="65"/>
      <c r="C23" s="75" t="s">
        <v>154</v>
      </c>
      <c r="D23" s="73"/>
      <c r="E23" s="73"/>
      <c r="F23" s="81">
        <f t="shared" si="1"/>
        <v>0</v>
      </c>
      <c r="G23" s="82">
        <f t="shared" si="0"/>
        <v>1</v>
      </c>
      <c r="H23" s="67"/>
    </row>
    <row r="24" spans="2:8">
      <c r="B24" s="65"/>
      <c r="C24" s="75" t="s">
        <v>154</v>
      </c>
      <c r="D24" s="73"/>
      <c r="E24" s="73"/>
      <c r="F24" s="81">
        <f t="shared" si="1"/>
        <v>0</v>
      </c>
      <c r="G24" s="82">
        <f t="shared" si="0"/>
        <v>1</v>
      </c>
      <c r="H24" s="67"/>
    </row>
    <row r="25" spans="2:8">
      <c r="B25" s="68"/>
      <c r="C25" s="69"/>
      <c r="D25" s="69"/>
      <c r="E25" s="69"/>
      <c r="F25" s="69"/>
      <c r="G25" s="79"/>
      <c r="H25" s="70"/>
    </row>
  </sheetData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Lists!$B$22:$B$24</xm:f>
          </x14:formula1>
          <xm:sqref>C20:C24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Architectural</vt:lpstr>
      <vt:lpstr>SHGC Calculator</vt:lpstr>
      <vt:lpstr>Thermal Resistance Calculator</vt:lpstr>
      <vt:lpstr>MRF Floor Area Calculator</vt:lpstr>
      <vt:lpstr>OTTV Method</vt:lpstr>
      <vt:lpstr>Prescriptive Method</vt:lpstr>
      <vt:lpstr>Walls</vt:lpstr>
      <vt:lpstr>Roof</vt:lpstr>
      <vt:lpstr>Windows &amp; Shading</vt:lpstr>
      <vt:lpstr>Lists</vt:lpstr>
      <vt:lpstr>Appendix</vt:lpstr>
      <vt:lpstr>Sheet1</vt:lpstr>
      <vt:lpstr>Building_Elevations</vt:lpstr>
      <vt:lpstr>Complied</vt:lpstr>
      <vt:lpstr>Elevation</vt:lpstr>
      <vt:lpstr>Insulation</vt:lpstr>
      <vt:lpstr>'Prescriptive Method'!Print_Area</vt:lpstr>
      <vt:lpstr>Provided</vt:lpstr>
      <vt:lpstr>Required</vt:lpstr>
      <vt:lpstr>Use_Occupancy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melpunsalan</dc:creator>
  <cp:lastModifiedBy>Josephine M Tioseco</cp:lastModifiedBy>
  <cp:lastPrinted>2017-03-23T13:26:31Z</cp:lastPrinted>
  <dcterms:created xsi:type="dcterms:W3CDTF">2015-08-27T05:41:34Z</dcterms:created>
  <dcterms:modified xsi:type="dcterms:W3CDTF">2021-11-09T08:43:11Z</dcterms:modified>
</cp:coreProperties>
</file>